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k\Downloads\Telegram Desktop\"/>
    </mc:Choice>
  </mc:AlternateContent>
  <xr:revisionPtr revIDLastSave="0" documentId="8_{4F496971-CDB0-4EF9-9A9E-BF127DFD91C1}" xr6:coauthVersionLast="47" xr6:coauthVersionMax="47" xr10:uidLastSave="{00000000-0000-0000-0000-000000000000}"/>
  <bookViews>
    <workbookView xWindow="-108" yWindow="-108" windowWidth="23256" windowHeight="12456" firstSheet="4" activeTab="4" xr2:uid="{00000000-000D-0000-FFFF-FFFF00000000}"/>
  </bookViews>
  <sheets>
    <sheet name="прогноз стартового трафика" sheetId="6" r:id="rId1"/>
    <sheet name="Доходы" sheetId="2" r:id="rId2"/>
    <sheet name="орех сарех" sheetId="7" r:id="rId3"/>
    <sheet name="Финансирование" sheetId="4" r:id="rId4"/>
    <sheet name="Денежный поток" sheetId="5" r:id="rId5"/>
    <sheet name="nvp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/>
  <c r="G2" i="5"/>
  <c r="B3" i="5"/>
  <c r="B4" i="5"/>
  <c r="B5" i="5"/>
  <c r="B6" i="5"/>
  <c r="I61" i="5"/>
  <c r="H63" i="5"/>
  <c r="H62" i="5"/>
  <c r="B7" i="8"/>
  <c r="B6" i="8"/>
  <c r="B63" i="5"/>
  <c r="B62" i="5"/>
  <c r="B61" i="5"/>
  <c r="B4" i="8"/>
  <c r="N43" i="5"/>
  <c r="N44" i="5"/>
  <c r="B36" i="2"/>
  <c r="C5" i="5"/>
  <c r="C2" i="5"/>
  <c r="B15" i="7"/>
  <c r="I63" i="5"/>
  <c r="E26" i="5"/>
  <c r="E27" i="5"/>
  <c r="E29" i="5"/>
  <c r="E30" i="5"/>
  <c r="E31" i="5"/>
  <c r="E32" i="5"/>
  <c r="E33" i="5"/>
  <c r="E34" i="5"/>
  <c r="E35" i="5"/>
  <c r="E36" i="5"/>
  <c r="E37" i="5"/>
  <c r="I62" i="5"/>
  <c r="B2" i="2"/>
  <c r="C2" i="2"/>
  <c r="G12" i="7"/>
  <c r="D2" i="5" s="1"/>
  <c r="C11" i="7"/>
  <c r="C8" i="7"/>
  <c r="C12" i="7" s="1"/>
  <c r="E14" i="5"/>
  <c r="E15" i="5"/>
  <c r="E17" i="5"/>
  <c r="E18" i="5"/>
  <c r="E19" i="5"/>
  <c r="E20" i="5"/>
  <c r="E21" i="5"/>
  <c r="E22" i="5"/>
  <c r="E23" i="5"/>
  <c r="E24" i="5"/>
  <c r="E25" i="5"/>
  <c r="E3" i="5"/>
  <c r="E4" i="5"/>
  <c r="E5" i="5"/>
  <c r="E6" i="5"/>
  <c r="E7" i="5"/>
  <c r="E8" i="5"/>
  <c r="E9" i="5"/>
  <c r="E10" i="5"/>
  <c r="E11" i="5"/>
  <c r="E12" i="5"/>
  <c r="E13" i="5"/>
  <c r="E2" i="5"/>
  <c r="L2" i="5" s="1"/>
  <c r="M2" i="5" l="1"/>
  <c r="N2" i="5" s="1"/>
  <c r="K2" i="5"/>
  <c r="J2" i="5"/>
  <c r="C26" i="5"/>
  <c r="C27" i="5"/>
  <c r="C28" i="5"/>
  <c r="C29" i="5"/>
  <c r="C30" i="5"/>
  <c r="C31" i="5"/>
  <c r="C32" i="5"/>
  <c r="C33" i="5"/>
  <c r="C34" i="5"/>
  <c r="C35" i="5"/>
  <c r="C36" i="5"/>
  <c r="C37" i="5"/>
  <c r="C21" i="5"/>
  <c r="C22" i="5"/>
  <c r="C23" i="5"/>
  <c r="C24" i="5"/>
  <c r="C25" i="5"/>
  <c r="C3" i="5"/>
  <c r="C4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D2" i="2"/>
  <c r="G2" i="2"/>
  <c r="H2" i="2" s="1"/>
  <c r="E2" i="2"/>
  <c r="B3" i="2"/>
  <c r="B4" i="2" s="1"/>
  <c r="J2" i="2" l="1"/>
  <c r="O2" i="5"/>
  <c r="F2" i="2"/>
  <c r="Q28" i="2" s="1"/>
  <c r="I2" i="2"/>
  <c r="K2" i="2" s="1"/>
  <c r="Q30" i="2" s="1"/>
  <c r="C3" i="2"/>
  <c r="Q31" i="2" l="1"/>
  <c r="Q33" i="2" s="1"/>
  <c r="R34" i="2" s="1"/>
  <c r="L2" i="2"/>
  <c r="E3" i="2"/>
  <c r="D3" i="2"/>
  <c r="G3" i="2"/>
  <c r="H3" i="2" s="1"/>
  <c r="B5" i="2"/>
  <c r="C4" i="2"/>
  <c r="L3" i="5" l="1"/>
  <c r="K3" i="5"/>
  <c r="H3" i="5"/>
  <c r="E4" i="2"/>
  <c r="F3" i="2"/>
  <c r="J3" i="2"/>
  <c r="I3" i="2"/>
  <c r="D4" i="2"/>
  <c r="G4" i="2"/>
  <c r="H4" i="2" s="1"/>
  <c r="B6" i="2"/>
  <c r="C5" i="2"/>
  <c r="M3" i="5" l="1"/>
  <c r="F3" i="5"/>
  <c r="N3" i="5"/>
  <c r="J3" i="5"/>
  <c r="F4" i="2"/>
  <c r="J4" i="2"/>
  <c r="K3" i="2"/>
  <c r="L3" i="2" s="1"/>
  <c r="E5" i="2"/>
  <c r="I4" i="2"/>
  <c r="D5" i="2"/>
  <c r="G5" i="2"/>
  <c r="H5" i="2" s="1"/>
  <c r="B7" i="2"/>
  <c r="B8" i="2" s="1"/>
  <c r="C6" i="2"/>
  <c r="L4" i="5" l="1"/>
  <c r="K4" i="5"/>
  <c r="O3" i="5"/>
  <c r="I5" i="2"/>
  <c r="H4" i="5"/>
  <c r="K4" i="2"/>
  <c r="L4" i="2" s="1"/>
  <c r="E6" i="2"/>
  <c r="F5" i="2"/>
  <c r="J5" i="2"/>
  <c r="D6" i="2"/>
  <c r="G6" i="2"/>
  <c r="H6" i="2" s="1"/>
  <c r="C7" i="2"/>
  <c r="L5" i="5" l="1"/>
  <c r="K5" i="5"/>
  <c r="M4" i="5"/>
  <c r="F4" i="5"/>
  <c r="N4" i="5"/>
  <c r="J4" i="5"/>
  <c r="K5" i="2"/>
  <c r="H5" i="5"/>
  <c r="F6" i="2"/>
  <c r="J6" i="2"/>
  <c r="E7" i="2"/>
  <c r="I6" i="2"/>
  <c r="L5" i="2"/>
  <c r="D7" i="2"/>
  <c r="I7" i="2" s="1"/>
  <c r="G7" i="2"/>
  <c r="H7" i="2" s="1"/>
  <c r="B9" i="2"/>
  <c r="C8" i="2"/>
  <c r="L6" i="5" l="1"/>
  <c r="K6" i="5"/>
  <c r="M5" i="5"/>
  <c r="F5" i="5"/>
  <c r="O4" i="5"/>
  <c r="N5" i="5"/>
  <c r="J5" i="5"/>
  <c r="K6" i="2"/>
  <c r="L6" i="2" s="1"/>
  <c r="B7" i="5" s="1"/>
  <c r="H6" i="5"/>
  <c r="H61" i="5" s="1"/>
  <c r="B5" i="8" s="1"/>
  <c r="E8" i="2"/>
  <c r="F7" i="2"/>
  <c r="J7" i="2"/>
  <c r="K7" i="2" s="1"/>
  <c r="G8" i="2"/>
  <c r="H8" i="2" s="1"/>
  <c r="D8" i="2"/>
  <c r="B10" i="2"/>
  <c r="C9" i="2"/>
  <c r="I8" i="2" l="1"/>
  <c r="M6" i="5"/>
  <c r="F6" i="5"/>
  <c r="L7" i="5"/>
  <c r="K7" i="5"/>
  <c r="O5" i="5"/>
  <c r="N6" i="5"/>
  <c r="N42" i="5" s="1"/>
  <c r="J6" i="5"/>
  <c r="H7" i="5"/>
  <c r="L7" i="2"/>
  <c r="B8" i="5" s="1"/>
  <c r="E9" i="2"/>
  <c r="F8" i="2"/>
  <c r="J8" i="2"/>
  <c r="K8" i="2" s="1"/>
  <c r="D9" i="2"/>
  <c r="G9" i="2"/>
  <c r="H9" i="2" s="1"/>
  <c r="B11" i="2"/>
  <c r="C10" i="2"/>
  <c r="L8" i="5" l="1"/>
  <c r="K8" i="5"/>
  <c r="M7" i="5"/>
  <c r="F7" i="5"/>
  <c r="O6" i="5"/>
  <c r="N7" i="5"/>
  <c r="J7" i="5"/>
  <c r="H8" i="5"/>
  <c r="F9" i="2"/>
  <c r="J9" i="2"/>
  <c r="I9" i="2"/>
  <c r="L8" i="2"/>
  <c r="B9" i="5" s="1"/>
  <c r="E10" i="2"/>
  <c r="G10" i="2"/>
  <c r="H10" i="2" s="1"/>
  <c r="D10" i="2"/>
  <c r="B12" i="2"/>
  <c r="B13" i="2" s="1"/>
  <c r="B14" i="2" s="1"/>
  <c r="C11" i="2"/>
  <c r="L9" i="5" l="1"/>
  <c r="K9" i="5"/>
  <c r="M8" i="5"/>
  <c r="F8" i="5"/>
  <c r="O7" i="5"/>
  <c r="N8" i="5"/>
  <c r="J8" i="5"/>
  <c r="C14" i="2"/>
  <c r="B15" i="2"/>
  <c r="H9" i="5"/>
  <c r="I10" i="2"/>
  <c r="K9" i="2"/>
  <c r="L9" i="2" s="1"/>
  <c r="B10" i="5" s="1"/>
  <c r="E11" i="2"/>
  <c r="F10" i="2"/>
  <c r="J10" i="2"/>
  <c r="G11" i="2"/>
  <c r="H11" i="2" s="1"/>
  <c r="D11" i="2"/>
  <c r="C13" i="2"/>
  <c r="C12" i="2"/>
  <c r="L10" i="5" l="1"/>
  <c r="K10" i="5"/>
  <c r="M9" i="5"/>
  <c r="F9" i="5"/>
  <c r="O8" i="5"/>
  <c r="N9" i="5"/>
  <c r="J9" i="5"/>
  <c r="K10" i="2"/>
  <c r="I11" i="2"/>
  <c r="C15" i="2"/>
  <c r="B16" i="2"/>
  <c r="G14" i="2"/>
  <c r="H14" i="2" s="1"/>
  <c r="D14" i="2"/>
  <c r="E14" i="2"/>
  <c r="H10" i="5"/>
  <c r="L10" i="2"/>
  <c r="B11" i="5" s="1"/>
  <c r="E12" i="2"/>
  <c r="E13" i="2"/>
  <c r="F11" i="2"/>
  <c r="J11" i="2"/>
  <c r="G12" i="2"/>
  <c r="H12" i="2" s="1"/>
  <c r="D12" i="2"/>
  <c r="G13" i="2"/>
  <c r="H13" i="2" s="1"/>
  <c r="D13" i="2"/>
  <c r="I12" i="2" l="1"/>
  <c r="L11" i="5"/>
  <c r="K11" i="5"/>
  <c r="M10" i="5"/>
  <c r="F10" i="5"/>
  <c r="O9" i="5"/>
  <c r="N10" i="5"/>
  <c r="J10" i="5"/>
  <c r="K11" i="2"/>
  <c r="B17" i="2"/>
  <c r="C16" i="2"/>
  <c r="G15" i="2"/>
  <c r="H15" i="2" s="1"/>
  <c r="D15" i="2"/>
  <c r="E15" i="2"/>
  <c r="I14" i="2"/>
  <c r="J14" i="2"/>
  <c r="K14" i="2" s="1"/>
  <c r="F14" i="2"/>
  <c r="L14" i="2" s="1"/>
  <c r="B15" i="5" s="1"/>
  <c r="I13" i="2"/>
  <c r="H11" i="5"/>
  <c r="F13" i="2"/>
  <c r="J13" i="2"/>
  <c r="L11" i="2"/>
  <c r="B12" i="5" s="1"/>
  <c r="F12" i="2"/>
  <c r="J12" i="2"/>
  <c r="K12" i="2" s="1"/>
  <c r="L12" i="5" l="1"/>
  <c r="K12" i="5"/>
  <c r="M11" i="5"/>
  <c r="F11" i="5"/>
  <c r="L15" i="5"/>
  <c r="K15" i="5"/>
  <c r="O10" i="5"/>
  <c r="N11" i="5"/>
  <c r="J11" i="5"/>
  <c r="K13" i="2"/>
  <c r="H15" i="5"/>
  <c r="G16" i="2"/>
  <c r="H16" i="2" s="1"/>
  <c r="D16" i="2"/>
  <c r="E16" i="2"/>
  <c r="I16" i="2" s="1"/>
  <c r="I15" i="2"/>
  <c r="J15" i="2"/>
  <c r="K15" i="2" s="1"/>
  <c r="F15" i="2"/>
  <c r="B18" i="2"/>
  <c r="C17" i="2"/>
  <c r="H12" i="5"/>
  <c r="L12" i="2"/>
  <c r="B13" i="5" s="1"/>
  <c r="L13" i="2"/>
  <c r="B14" i="5" s="1"/>
  <c r="L14" i="5" l="1"/>
  <c r="K14" i="5"/>
  <c r="L13" i="5"/>
  <c r="K13" i="5"/>
  <c r="M12" i="5"/>
  <c r="F12" i="5"/>
  <c r="M15" i="5"/>
  <c r="F15" i="5"/>
  <c r="O11" i="5"/>
  <c r="N15" i="5"/>
  <c r="N12" i="5"/>
  <c r="J12" i="5"/>
  <c r="J15" i="5"/>
  <c r="L15" i="2"/>
  <c r="B16" i="5" s="1"/>
  <c r="C18" i="2"/>
  <c r="B19" i="2"/>
  <c r="J16" i="2"/>
  <c r="K16" i="2" s="1"/>
  <c r="F16" i="2"/>
  <c r="G17" i="2"/>
  <c r="H17" i="2" s="1"/>
  <c r="E17" i="2"/>
  <c r="D17" i="2"/>
  <c r="H14" i="5"/>
  <c r="H13" i="5"/>
  <c r="M13" i="5" l="1"/>
  <c r="F13" i="5"/>
  <c r="M14" i="5"/>
  <c r="F14" i="5"/>
  <c r="L16" i="5"/>
  <c r="K16" i="5"/>
  <c r="O12" i="5"/>
  <c r="O15" i="5"/>
  <c r="N13" i="5"/>
  <c r="N14" i="5"/>
  <c r="O14" i="5" s="1"/>
  <c r="F41" i="5"/>
  <c r="J13" i="5"/>
  <c r="J14" i="5"/>
  <c r="L16" i="2"/>
  <c r="B17" i="5" s="1"/>
  <c r="H16" i="5"/>
  <c r="H17" i="5"/>
  <c r="J17" i="2"/>
  <c r="F17" i="2"/>
  <c r="C19" i="2"/>
  <c r="B20" i="2"/>
  <c r="I17" i="2"/>
  <c r="E18" i="2"/>
  <c r="D18" i="2"/>
  <c r="G18" i="2"/>
  <c r="H18" i="2" s="1"/>
  <c r="I18" i="2" l="1"/>
  <c r="M17" i="5"/>
  <c r="F17" i="5"/>
  <c r="M16" i="5"/>
  <c r="F16" i="5"/>
  <c r="L17" i="5"/>
  <c r="N17" i="5" s="1"/>
  <c r="O17" i="5" s="1"/>
  <c r="K17" i="5"/>
  <c r="O13" i="5"/>
  <c r="N16" i="5"/>
  <c r="J16" i="5"/>
  <c r="J17" i="5"/>
  <c r="E4" i="8"/>
  <c r="F18" i="2"/>
  <c r="J18" i="2"/>
  <c r="K18" i="2" s="1"/>
  <c r="K17" i="2"/>
  <c r="L17" i="2" s="1"/>
  <c r="B18" i="5" s="1"/>
  <c r="D19" i="2"/>
  <c r="G19" i="2"/>
  <c r="H19" i="2" s="1"/>
  <c r="E19" i="2"/>
  <c r="C20" i="2"/>
  <c r="B21" i="2"/>
  <c r="L18" i="5" l="1"/>
  <c r="K18" i="5"/>
  <c r="O16" i="5"/>
  <c r="L18" i="2"/>
  <c r="B19" i="5" s="1"/>
  <c r="I19" i="2"/>
  <c r="H18" i="5"/>
  <c r="F19" i="2"/>
  <c r="J19" i="2"/>
  <c r="B22" i="2"/>
  <c r="C21" i="2"/>
  <c r="D20" i="2"/>
  <c r="G20" i="2"/>
  <c r="H20" i="2" s="1"/>
  <c r="E20" i="2"/>
  <c r="I20" i="2"/>
  <c r="M18" i="5" l="1"/>
  <c r="F18" i="5"/>
  <c r="L19" i="5"/>
  <c r="K19" i="5"/>
  <c r="N18" i="5"/>
  <c r="J18" i="5"/>
  <c r="H19" i="5"/>
  <c r="K19" i="2"/>
  <c r="L19" i="2" s="1"/>
  <c r="B20" i="5" s="1"/>
  <c r="F20" i="2"/>
  <c r="J20" i="2"/>
  <c r="K20" i="2" s="1"/>
  <c r="D21" i="2"/>
  <c r="G21" i="2"/>
  <c r="H21" i="2" s="1"/>
  <c r="E21" i="2"/>
  <c r="C22" i="2"/>
  <c r="B23" i="2"/>
  <c r="I21" i="2" l="1"/>
  <c r="L20" i="5"/>
  <c r="K20" i="5"/>
  <c r="M19" i="5"/>
  <c r="F19" i="5"/>
  <c r="O18" i="5"/>
  <c r="N19" i="5"/>
  <c r="J19" i="5"/>
  <c r="H20" i="5"/>
  <c r="C23" i="2"/>
  <c r="B24" i="2"/>
  <c r="L20" i="2"/>
  <c r="B21" i="5" s="1"/>
  <c r="D22" i="2"/>
  <c r="E22" i="2"/>
  <c r="I22" i="2" s="1"/>
  <c r="G22" i="2"/>
  <c r="H22" i="2" s="1"/>
  <c r="F21" i="2"/>
  <c r="J21" i="2"/>
  <c r="K21" i="2" s="1"/>
  <c r="L21" i="2" l="1"/>
  <c r="B22" i="5" s="1"/>
  <c r="L22" i="5"/>
  <c r="K22" i="5"/>
  <c r="L21" i="5"/>
  <c r="K21" i="5"/>
  <c r="M20" i="5"/>
  <c r="F20" i="5"/>
  <c r="O19" i="5"/>
  <c r="N20" i="5"/>
  <c r="J20" i="5"/>
  <c r="F22" i="2"/>
  <c r="J22" i="2"/>
  <c r="K22" i="2" s="1"/>
  <c r="H22" i="5"/>
  <c r="B25" i="2"/>
  <c r="C24" i="2"/>
  <c r="H21" i="5"/>
  <c r="G23" i="2"/>
  <c r="H23" i="2" s="1"/>
  <c r="D23" i="2"/>
  <c r="E23" i="2"/>
  <c r="C25" i="2" l="1"/>
  <c r="B26" i="2"/>
  <c r="M21" i="5"/>
  <c r="F21" i="5"/>
  <c r="M22" i="5"/>
  <c r="F22" i="5"/>
  <c r="O20" i="5"/>
  <c r="N21" i="5"/>
  <c r="N22" i="5"/>
  <c r="O22" i="5" s="1"/>
  <c r="J21" i="5"/>
  <c r="J22" i="5"/>
  <c r="I23" i="2"/>
  <c r="D25" i="2"/>
  <c r="G25" i="2"/>
  <c r="H25" i="2" s="1"/>
  <c r="E25" i="2"/>
  <c r="G24" i="2"/>
  <c r="H24" i="2" s="1"/>
  <c r="D24" i="2"/>
  <c r="E24" i="2"/>
  <c r="I24" i="2"/>
  <c r="J23" i="2"/>
  <c r="K23" i="2" s="1"/>
  <c r="F23" i="2"/>
  <c r="L22" i="2"/>
  <c r="B23" i="5" s="1"/>
  <c r="C26" i="2" l="1"/>
  <c r="B27" i="2"/>
  <c r="L23" i="5"/>
  <c r="K23" i="5"/>
  <c r="O21" i="5"/>
  <c r="L23" i="2"/>
  <c r="B24" i="5" s="1"/>
  <c r="H24" i="5"/>
  <c r="J24" i="2"/>
  <c r="K24" i="2" s="1"/>
  <c r="F24" i="2"/>
  <c r="H23" i="5"/>
  <c r="I25" i="2"/>
  <c r="F25" i="2"/>
  <c r="J25" i="2"/>
  <c r="K25" i="2" s="1"/>
  <c r="C27" i="2" l="1"/>
  <c r="B28" i="2"/>
  <c r="D26" i="2"/>
  <c r="E26" i="2"/>
  <c r="I26" i="2" s="1"/>
  <c r="G26" i="2"/>
  <c r="H26" i="2" s="1"/>
  <c r="M23" i="5"/>
  <c r="F23" i="5"/>
  <c r="M24" i="5"/>
  <c r="F24" i="5"/>
  <c r="L24" i="5"/>
  <c r="N24" i="5" s="1"/>
  <c r="O24" i="5" s="1"/>
  <c r="K24" i="5"/>
  <c r="N23" i="5"/>
  <c r="J23" i="5"/>
  <c r="J24" i="5"/>
  <c r="L24" i="2"/>
  <c r="B25" i="5" s="1"/>
  <c r="L25" i="2"/>
  <c r="B26" i="5" s="1"/>
  <c r="J26" i="2" l="1"/>
  <c r="K26" i="2" s="1"/>
  <c r="F26" i="2"/>
  <c r="L26" i="2" s="1"/>
  <c r="B27" i="5" s="1"/>
  <c r="B29" i="2"/>
  <c r="C28" i="2"/>
  <c r="G27" i="2"/>
  <c r="H27" i="2" s="1"/>
  <c r="E27" i="2"/>
  <c r="D27" i="2"/>
  <c r="I27" i="2"/>
  <c r="L26" i="5"/>
  <c r="K26" i="5"/>
  <c r="L25" i="5"/>
  <c r="K25" i="5"/>
  <c r="O23" i="5"/>
  <c r="H25" i="5"/>
  <c r="H26" i="5"/>
  <c r="E12" i="8"/>
  <c r="F27" i="2" l="1"/>
  <c r="J27" i="2"/>
  <c r="K27" i="2" s="1"/>
  <c r="D28" i="2"/>
  <c r="G28" i="2"/>
  <c r="H28" i="2" s="1"/>
  <c r="E28" i="2"/>
  <c r="I28" i="2" s="1"/>
  <c r="B30" i="2"/>
  <c r="C29" i="2"/>
  <c r="L27" i="5"/>
  <c r="K27" i="5"/>
  <c r="H27" i="5"/>
  <c r="J27" i="5"/>
  <c r="M26" i="5"/>
  <c r="F26" i="5"/>
  <c r="M25" i="5"/>
  <c r="F25" i="5"/>
  <c r="N25" i="5"/>
  <c r="N26" i="5"/>
  <c r="J26" i="5"/>
  <c r="J25" i="5"/>
  <c r="M27" i="5" l="1"/>
  <c r="F27" i="5"/>
  <c r="N27" i="5"/>
  <c r="O27" i="5" s="1"/>
  <c r="E29" i="2"/>
  <c r="D29" i="2"/>
  <c r="G29" i="2"/>
  <c r="H29" i="2" s="1"/>
  <c r="I29" i="2"/>
  <c r="B31" i="2"/>
  <c r="C30" i="2"/>
  <c r="J28" i="2"/>
  <c r="K28" i="2" s="1"/>
  <c r="F28" i="2"/>
  <c r="L28" i="2" s="1"/>
  <c r="B29" i="5" s="1"/>
  <c r="L27" i="2"/>
  <c r="B28" i="5" s="1"/>
  <c r="O26" i="5"/>
  <c r="O25" i="5"/>
  <c r="L28" i="5" l="1"/>
  <c r="K28" i="5"/>
  <c r="H28" i="5"/>
  <c r="J28" i="5"/>
  <c r="L29" i="5"/>
  <c r="K29" i="5"/>
  <c r="H29" i="5"/>
  <c r="J29" i="5"/>
  <c r="E30" i="2"/>
  <c r="G30" i="2"/>
  <c r="H30" i="2" s="1"/>
  <c r="D30" i="2"/>
  <c r="I30" i="2"/>
  <c r="C31" i="2"/>
  <c r="B32" i="2"/>
  <c r="J29" i="2"/>
  <c r="K29" i="2" s="1"/>
  <c r="F29" i="2"/>
  <c r="L29" i="2" s="1"/>
  <c r="B30" i="5" s="1"/>
  <c r="E5" i="8"/>
  <c r="L30" i="5" l="1"/>
  <c r="K30" i="5"/>
  <c r="H30" i="5"/>
  <c r="J30" i="5"/>
  <c r="C32" i="2"/>
  <c r="B33" i="2"/>
  <c r="D31" i="2"/>
  <c r="G31" i="2"/>
  <c r="H31" i="2" s="1"/>
  <c r="E31" i="2"/>
  <c r="I31" i="2"/>
  <c r="F30" i="2"/>
  <c r="J30" i="2"/>
  <c r="K30" i="2" s="1"/>
  <c r="M29" i="5"/>
  <c r="F29" i="5"/>
  <c r="N29" i="5"/>
  <c r="O29" i="5" s="1"/>
  <c r="M28" i="5"/>
  <c r="F28" i="5"/>
  <c r="N28" i="5"/>
  <c r="O28" i="5" l="1"/>
  <c r="L30" i="2"/>
  <c r="B31" i="5" s="1"/>
  <c r="F31" i="2"/>
  <c r="J31" i="2"/>
  <c r="K31" i="2" s="1"/>
  <c r="B34" i="2"/>
  <c r="C33" i="2"/>
  <c r="G32" i="2"/>
  <c r="H32" i="2" s="1"/>
  <c r="D32" i="2"/>
  <c r="E32" i="2"/>
  <c r="I32" i="2"/>
  <c r="M30" i="5"/>
  <c r="F30" i="5"/>
  <c r="N30" i="5"/>
  <c r="O30" i="5" l="1"/>
  <c r="J32" i="2"/>
  <c r="K32" i="2" s="1"/>
  <c r="F32" i="2"/>
  <c r="L32" i="2" s="1"/>
  <c r="B33" i="5" s="1"/>
  <c r="E33" i="2"/>
  <c r="D33" i="2"/>
  <c r="G33" i="2"/>
  <c r="H33" i="2" s="1"/>
  <c r="I33" i="2"/>
  <c r="C34" i="2"/>
  <c r="B35" i="2"/>
  <c r="L31" i="2"/>
  <c r="B32" i="5" s="1"/>
  <c r="L31" i="5"/>
  <c r="K31" i="5"/>
  <c r="H31" i="5"/>
  <c r="J31" i="5"/>
  <c r="M31" i="5" l="1"/>
  <c r="F31" i="5"/>
  <c r="N31" i="5"/>
  <c r="L32" i="5"/>
  <c r="K32" i="5"/>
  <c r="H32" i="5"/>
  <c r="J32" i="5"/>
  <c r="C35" i="2"/>
  <c r="D34" i="2"/>
  <c r="E34" i="2"/>
  <c r="G34" i="2"/>
  <c r="H34" i="2" s="1"/>
  <c r="I34" i="2"/>
  <c r="F33" i="2"/>
  <c r="J33" i="2"/>
  <c r="K33" i="2" s="1"/>
  <c r="L33" i="5"/>
  <c r="K33" i="5"/>
  <c r="H33" i="5"/>
  <c r="J33" i="5"/>
  <c r="M33" i="5" l="1"/>
  <c r="F33" i="5"/>
  <c r="N33" i="5"/>
  <c r="O33" i="5" s="1"/>
  <c r="L33" i="2"/>
  <c r="B34" i="5" s="1"/>
  <c r="J34" i="2"/>
  <c r="K34" i="2" s="1"/>
  <c r="F34" i="2"/>
  <c r="G35" i="2"/>
  <c r="H35" i="2" s="1"/>
  <c r="E35" i="2"/>
  <c r="D35" i="2"/>
  <c r="I35" i="2"/>
  <c r="C36" i="2"/>
  <c r="B37" i="2"/>
  <c r="C37" i="2" s="1"/>
  <c r="M32" i="5"/>
  <c r="F32" i="5"/>
  <c r="N32" i="5"/>
  <c r="O32" i="5" s="1"/>
  <c r="O31" i="5"/>
  <c r="E37" i="2" l="1"/>
  <c r="D37" i="2"/>
  <c r="G37" i="2"/>
  <c r="H37" i="2" s="1"/>
  <c r="I37" i="2"/>
  <c r="D36" i="2"/>
  <c r="E36" i="2"/>
  <c r="G36" i="2"/>
  <c r="H36" i="2" s="1"/>
  <c r="I36" i="2"/>
  <c r="J35" i="2"/>
  <c r="K35" i="2" s="1"/>
  <c r="F35" i="2"/>
  <c r="L35" i="2" s="1"/>
  <c r="B36" i="5" s="1"/>
  <c r="L34" i="2"/>
  <c r="B35" i="5" s="1"/>
  <c r="L34" i="5"/>
  <c r="K34" i="5"/>
  <c r="H34" i="5"/>
  <c r="J34" i="5"/>
  <c r="M34" i="5" l="1"/>
  <c r="F34" i="5"/>
  <c r="N34" i="5"/>
  <c r="L35" i="5"/>
  <c r="K35" i="5"/>
  <c r="H35" i="5"/>
  <c r="J35" i="5"/>
  <c r="L36" i="5"/>
  <c r="K36" i="5"/>
  <c r="H36" i="5"/>
  <c r="J36" i="5"/>
  <c r="F36" i="2"/>
  <c r="J36" i="2"/>
  <c r="K36" i="2" s="1"/>
  <c r="J37" i="2"/>
  <c r="K37" i="2" s="1"/>
  <c r="F37" i="2"/>
  <c r="L37" i="2" l="1"/>
  <c r="L36" i="2"/>
  <c r="B37" i="5" s="1"/>
  <c r="M36" i="5"/>
  <c r="F36" i="5"/>
  <c r="N36" i="5"/>
  <c r="O36" i="5" s="1"/>
  <c r="M35" i="5"/>
  <c r="F35" i="5"/>
  <c r="N35" i="5"/>
  <c r="O35" i="5" s="1"/>
  <c r="O34" i="5"/>
  <c r="L37" i="5" l="1"/>
  <c r="K37" i="5"/>
  <c r="H37" i="5"/>
  <c r="J37" i="5"/>
  <c r="B8" i="8"/>
  <c r="E13" i="8" l="1"/>
  <c r="M37" i="5"/>
  <c r="F37" i="5"/>
  <c r="B9" i="8"/>
  <c r="B10" i="8" s="1"/>
  <c r="N37" i="5"/>
  <c r="O37" i="5" l="1"/>
  <c r="E6" i="8" l="1"/>
  <c r="E7" i="8" s="1"/>
  <c r="I12" i="8"/>
  <c r="I9" i="8"/>
  <c r="J4" i="8" a="1"/>
  <c r="J4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<sst xmlns="http://schemas.openxmlformats.org/spreadsheetml/2006/main" count="184" uniqueCount="157">
  <si>
    <t>Канал</t>
  </si>
  <si>
    <t>Примерная оценка трафика в мес. при минимальном бюджете (50–100 тыс. ₽)</t>
  </si>
  <si>
    <t>Таргетированная реклама</t>
  </si>
  <si>
    <t>2 000 – 4 000 уникальных визитов</t>
  </si>
  <si>
    <t>Контент в Telegram / TikTok</t>
  </si>
  <si>
    <t>500 – 1 000 визитов</t>
  </si>
  <si>
    <t>Партнёрства / публикации</t>
  </si>
  <si>
    <t>300 – 500</t>
  </si>
  <si>
    <t>Реферальный механизм</t>
  </si>
  <si>
    <t>10–15% от базового притока (~300–600)</t>
  </si>
  <si>
    <t>Итого ориентировочно</t>
  </si>
  <si>
    <t>~3 000 – 6 000 визитов / мес</t>
  </si>
  <si>
    <r>
      <t>Реалистичный ежемесячный рост трафика — от 15% до 30% в первый год</t>
    </r>
    <r>
      <rPr>
        <sz val="11"/>
        <color theme="1"/>
        <rFont val="Calibri"/>
        <family val="2"/>
        <scheme val="minor"/>
      </rPr>
      <t>, при условии:</t>
    </r>
  </si>
  <si>
    <t>стабильной работы продукта,</t>
  </si>
  <si>
    <t>удержания 30–40% пользователей через 30 дней,</t>
  </si>
  <si>
    <t>поддержки через контент, рефералку и рекламу.</t>
  </si>
  <si>
    <t>Месяц</t>
  </si>
  <si>
    <t>Трафик</t>
  </si>
  <si>
    <t>Регистрации</t>
  </si>
  <si>
    <t>Платящие за месяц</t>
  </si>
  <si>
    <t>Платящие годовую</t>
  </si>
  <si>
    <t>Доход с подписки, руб</t>
  </si>
  <si>
    <t>Конверсия в действие с партнеркой</t>
  </si>
  <si>
    <t>Доход с партнерских программ, руб</t>
  </si>
  <si>
    <t>Конверсия активных пользователей</t>
  </si>
  <si>
    <t>Конверсия платящих пользователей</t>
  </si>
  <si>
    <t>Доход с рекламы, руб</t>
  </si>
  <si>
    <t>Общий доход, руб</t>
  </si>
  <si>
    <t>2-й мес</t>
  </si>
  <si>
    <t>Показатель</t>
  </si>
  <si>
    <t>Значение</t>
  </si>
  <si>
    <t>3-й мес</t>
  </si>
  <si>
    <t>Цена подписки</t>
  </si>
  <si>
    <t>4-й мес</t>
  </si>
  <si>
    <t>Конверсия в регистрацию</t>
  </si>
  <si>
    <t>2–5% — это прогнозная оценка конверсии в регистрацию, основанная на сравнении каналов (контекст, блогеры и т. д.).</t>
  </si>
  <si>
    <t>5-й мес</t>
  </si>
  <si>
    <t>Конверсия в платную подписку</t>
  </si>
  <si>
    <t>6-й мес</t>
  </si>
  <si>
    <t>Среднемесячный трафик (начальный)</t>
  </si>
  <si>
    <t>7-й мес</t>
  </si>
  <si>
    <t>Рост трафика в мес. (%)</t>
  </si>
  <si>
    <t>сред</t>
  </si>
  <si>
    <t>8-й мес</t>
  </si>
  <si>
    <t>9-й мес</t>
  </si>
  <si>
    <t xml:space="preserve">Средняя ставка (по миксу партнёров): </t>
  </si>
  <si>
    <t>10-й мес</t>
  </si>
  <si>
    <t>конверсия на годовую подписку</t>
  </si>
  <si>
    <t>11-й мес</t>
  </si>
  <si>
    <t>год подписк</t>
  </si>
  <si>
    <t>12-й мес</t>
  </si>
  <si>
    <t>стоим рекл</t>
  </si>
  <si>
    <t>13-й мес</t>
  </si>
  <si>
    <t>конверсия рекл</t>
  </si>
  <si>
    <t>14-й мес</t>
  </si>
  <si>
    <t>актив</t>
  </si>
  <si>
    <t>15-й мес</t>
  </si>
  <si>
    <t>платящ</t>
  </si>
  <si>
    <t>16-й мес</t>
  </si>
  <si>
    <t>конверсия от активных польз</t>
  </si>
  <si>
    <t>17-й мес</t>
  </si>
  <si>
    <t>18-й мес</t>
  </si>
  <si>
    <t>19-й мес</t>
  </si>
  <si>
    <t>20-й мес</t>
  </si>
  <si>
    <t>21-й мес</t>
  </si>
  <si>
    <t>22-й мес</t>
  </si>
  <si>
    <t>23-й мес</t>
  </si>
  <si>
    <t>24-й мес</t>
  </si>
  <si>
    <t>25-й мес</t>
  </si>
  <si>
    <t>26-й мес</t>
  </si>
  <si>
    <t>27-й мес</t>
  </si>
  <si>
    <t>arpu=доход/кол во клиентов</t>
  </si>
  <si>
    <t>28-й мес</t>
  </si>
  <si>
    <t>29-й мес</t>
  </si>
  <si>
    <t>от рекламы и партерств</t>
  </si>
  <si>
    <t>30-й мес</t>
  </si>
  <si>
    <t>31-й мес</t>
  </si>
  <si>
    <t>итого</t>
  </si>
  <si>
    <t>32-й мес</t>
  </si>
  <si>
    <t>ltv</t>
  </si>
  <si>
    <t>общ доход/ колво покупателей</t>
  </si>
  <si>
    <t>33-й мес</t>
  </si>
  <si>
    <t>34-й мес</t>
  </si>
  <si>
    <t>САС</t>
  </si>
  <si>
    <t>35-й мес</t>
  </si>
  <si>
    <t>отношение LTV к CAC</t>
  </si>
  <si>
    <t>36-й мес</t>
  </si>
  <si>
    <t>37-й мес</t>
  </si>
  <si>
    <t>OPEX</t>
  </si>
  <si>
    <t>CAPEX</t>
  </si>
  <si>
    <t>Переменные издерки</t>
  </si>
  <si>
    <t>Постоянные издержки</t>
  </si>
  <si>
    <t>Оплата труда</t>
  </si>
  <si>
    <t>1-ый месяц личный штат нужен частично, тк разработка приложения на аутсорсе</t>
  </si>
  <si>
    <t xml:space="preserve">компьютерная техника и программное обеспечение, если речь идёт о значительных и долгосрочных инвестициях;
</t>
  </si>
  <si>
    <t>Сервер, 2 шт</t>
  </si>
  <si>
    <t>Бонус</t>
  </si>
  <si>
    <t>Оклад</t>
  </si>
  <si>
    <t>Маркетинг</t>
  </si>
  <si>
    <t>инвестиции в нематериальные активы, такие как патенты, лицензии и товарные знаки.</t>
  </si>
  <si>
    <t>Товарный знак</t>
  </si>
  <si>
    <t>Канцтовары</t>
  </si>
  <si>
    <t>Бухгалтер</t>
  </si>
  <si>
    <t>Административные расходы</t>
  </si>
  <si>
    <t>Авторское право</t>
  </si>
  <si>
    <t>Почтовые и курьерские расходы</t>
  </si>
  <si>
    <t>Юридические услуги</t>
  </si>
  <si>
    <t>Разработка ПО на аутсорсе (в том числе MVP)</t>
  </si>
  <si>
    <t>сюда входит mvp</t>
  </si>
  <si>
    <t>Обучение сотрудников</t>
  </si>
  <si>
    <t>Подписки на цифровые инструменты</t>
  </si>
  <si>
    <t>Прочие операционные расходы</t>
  </si>
  <si>
    <t>себестоимость приложения</t>
  </si>
  <si>
    <t xml:space="preserve"> В ПРОИЗВОДСТЫВЕННЫЙ ПЛАН</t>
  </si>
  <si>
    <t>Привлеченные средства</t>
  </si>
  <si>
    <t>Комментарий</t>
  </si>
  <si>
    <t>1-й мес</t>
  </si>
  <si>
    <t>Кредит под 17,5% годовых на 5 лет</t>
  </si>
  <si>
    <t>Акселерационные программы</t>
  </si>
  <si>
    <t>на 3 месяц после успешного тестирования mvp нашли инвестора, который обещает вкладывать по 15 млн в год при успешном развитии приложения и достижении определенных результатов</t>
  </si>
  <si>
    <t>Государственный грант</t>
  </si>
  <si>
    <t>Доход</t>
  </si>
  <si>
    <t>Привлечено</t>
  </si>
  <si>
    <t>Потребность в ОК</t>
  </si>
  <si>
    <t>Потребность в финансировании</t>
  </si>
  <si>
    <t>Налоги</t>
  </si>
  <si>
    <t>Проценты по кредиту</t>
  </si>
  <si>
    <t>Чистая прибыль</t>
  </si>
  <si>
    <t>выручка</t>
  </si>
  <si>
    <t>cf+</t>
  </si>
  <si>
    <t>cf-</t>
  </si>
  <si>
    <t>ncf</t>
  </si>
  <si>
    <t>накопительный NCF</t>
  </si>
  <si>
    <t>ОК</t>
  </si>
  <si>
    <t>Чистый денежный поток = Общий приток денежных средств — общий отток денежных средств</t>
  </si>
  <si>
    <t>r - процент по долгосрочным кредитам</t>
  </si>
  <si>
    <t>ТБ</t>
  </si>
  <si>
    <t>1 год</t>
  </si>
  <si>
    <t>2 год</t>
  </si>
  <si>
    <t>3 год</t>
  </si>
  <si>
    <t>параметр</t>
  </si>
  <si>
    <t>значения</t>
  </si>
  <si>
    <t>ставка дисконтирования</t>
  </si>
  <si>
    <t>инвестиции</t>
  </si>
  <si>
    <t>выручка 1 год</t>
  </si>
  <si>
    <t>ROI</t>
  </si>
  <si>
    <t>затраты 1 год</t>
  </si>
  <si>
    <t>выручка 2 год</t>
  </si>
  <si>
    <t>затраты 2 год</t>
  </si>
  <si>
    <t>IRR</t>
  </si>
  <si>
    <t>выручка 3 год</t>
  </si>
  <si>
    <t>затраты 3 год</t>
  </si>
  <si>
    <t>DCF (pv) на третий год</t>
  </si>
  <si>
    <t>npv</t>
  </si>
  <si>
    <t xml:space="preserve">tv 2 </t>
  </si>
  <si>
    <t>FV</t>
  </si>
  <si>
    <t>tv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</si>
</sst>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₽&quot;_-;\-* #,##0.00\ &quot;₽&quot;_-;_-* &quot;-&quot;??\ &quot;₽&quot;_-;_-@_-"/>
    <numFmt numFmtId="165" formatCode="#,##0&quot; ₽&quot;"/>
    <numFmt numFmtId="166" formatCode="_-* #,##0\ &quot;₽&quot;_-;\-* #,##0\ &quot;₽&quot;_-;_-* &quot;-&quot;??\ &quot;₽&quot;_-;_-@_-"/>
    <numFmt numFmtId="167" formatCode="#,##0\ &quot;₽&quot;"/>
    <numFmt numFmtId="168" formatCode="0.0%"/>
    <numFmt numFmtId="169" formatCode="_-* #,##0.00\ [$₽-419]_-;\-* #,##0.00\ [$₽-419]_-;_-* &quot;-&quot;??\ [$₽-419]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40C2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left" vertical="center" indent="1"/>
    </xf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2" applyNumberFormat="1" applyFont="1"/>
    <xf numFmtId="165" fontId="0" fillId="0" borderId="0" xfId="0" applyNumberFormat="1"/>
    <xf numFmtId="10" fontId="0" fillId="0" borderId="0" xfId="0" applyNumberFormat="1"/>
    <xf numFmtId="169" fontId="0" fillId="0" borderId="0" xfId="0" applyNumberFormat="1"/>
    <xf numFmtId="169" fontId="0" fillId="0" borderId="0" xfId="2" applyNumberFormat="1" applyFont="1"/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165" fontId="0" fillId="0" borderId="1" xfId="0" applyNumberFormat="1" applyBorder="1" applyAlignment="1">
      <alignment horizontal="center" wrapText="1"/>
    </xf>
    <xf numFmtId="9" fontId="0" fillId="0" borderId="1" xfId="0" applyNumberFormat="1" applyBorder="1"/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9" fontId="0" fillId="0" borderId="0" xfId="0" applyNumberFormat="1"/>
    <xf numFmtId="0" fontId="10" fillId="0" borderId="2" xfId="0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0" fillId="2" borderId="0" xfId="0" applyFill="1" applyAlignment="1">
      <alignment wrapText="1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167" fontId="6" fillId="0" borderId="0" xfId="0" applyNumberFormat="1" applyFont="1"/>
    <xf numFmtId="165" fontId="6" fillId="0" borderId="0" xfId="0" applyNumberFormat="1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/>
    <xf numFmtId="165" fontId="11" fillId="0" borderId="1" xfId="0" applyNumberFormat="1" applyFont="1" applyBorder="1"/>
    <xf numFmtId="0" fontId="11" fillId="0" borderId="0" xfId="0" applyFont="1"/>
    <xf numFmtId="165" fontId="11" fillId="0" borderId="3" xfId="0" applyNumberFormat="1" applyFont="1" applyBorder="1" applyAlignment="1">
      <alignment horizontal="center"/>
    </xf>
    <xf numFmtId="167" fontId="11" fillId="0" borderId="3" xfId="0" applyNumberFormat="1" applyFont="1" applyBorder="1"/>
    <xf numFmtId="0" fontId="11" fillId="0" borderId="3" xfId="0" applyFont="1" applyBorder="1"/>
    <xf numFmtId="165" fontId="11" fillId="0" borderId="3" xfId="0" applyNumberFormat="1" applyFont="1" applyBorder="1"/>
    <xf numFmtId="165" fontId="11" fillId="0" borderId="2" xfId="0" applyNumberFormat="1" applyFont="1" applyBorder="1" applyAlignment="1">
      <alignment horizontal="center"/>
    </xf>
    <xf numFmtId="167" fontId="11" fillId="0" borderId="2" xfId="0" applyNumberFormat="1" applyFont="1" applyBorder="1"/>
    <xf numFmtId="0" fontId="11" fillId="0" borderId="2" xfId="0" applyFont="1" applyBorder="1"/>
    <xf numFmtId="165" fontId="11" fillId="0" borderId="2" xfId="0" applyNumberFormat="1" applyFont="1" applyBorder="1"/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81220-90DD-41CA-9098-CA1572254BDA}">
  <dimension ref="A1:B16"/>
  <sheetViews>
    <sheetView workbookViewId="0">
      <selection activeCell="B10" sqref="B10"/>
    </sheetView>
  </sheetViews>
  <sheetFormatPr defaultColWidth="8.7109375" defaultRowHeight="14.45"/>
  <cols>
    <col min="1" max="1" width="33.140625" customWidth="1"/>
    <col min="2" max="2" width="51.42578125" customWidth="1"/>
  </cols>
  <sheetData>
    <row r="1" spans="1:2" ht="28.9">
      <c r="A1" s="4" t="s">
        <v>0</v>
      </c>
      <c r="B1" s="4" t="s">
        <v>1</v>
      </c>
    </row>
    <row r="2" spans="1:2">
      <c r="A2" s="5" t="s">
        <v>2</v>
      </c>
      <c r="B2" s="5" t="s">
        <v>3</v>
      </c>
    </row>
    <row r="3" spans="1:2">
      <c r="A3" s="5" t="s">
        <v>4</v>
      </c>
      <c r="B3" s="5" t="s">
        <v>5</v>
      </c>
    </row>
    <row r="4" spans="1:2">
      <c r="A4" s="5" t="s">
        <v>6</v>
      </c>
      <c r="B4" s="5" t="s">
        <v>7</v>
      </c>
    </row>
    <row r="5" spans="1:2">
      <c r="A5" s="5" t="s">
        <v>8</v>
      </c>
      <c r="B5" s="5" t="s">
        <v>9</v>
      </c>
    </row>
    <row r="6" spans="1:2">
      <c r="A6" s="6" t="s">
        <v>10</v>
      </c>
      <c r="B6" s="6" t="s">
        <v>11</v>
      </c>
    </row>
    <row r="10" spans="1:2">
      <c r="A10" s="7" t="s">
        <v>12</v>
      </c>
    </row>
    <row r="11" spans="1:2">
      <c r="A11" s="8"/>
    </row>
    <row r="12" spans="1:2">
      <c r="A12" s="8" t="s">
        <v>13</v>
      </c>
    </row>
    <row r="13" spans="1:2">
      <c r="A13" s="8"/>
    </row>
    <row r="14" spans="1:2">
      <c r="A14" s="8" t="s">
        <v>14</v>
      </c>
    </row>
    <row r="15" spans="1:2">
      <c r="A15" s="8"/>
    </row>
    <row r="16" spans="1:2">
      <c r="A16" s="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workbookViewId="0">
      <selection activeCell="A38" sqref="A38"/>
    </sheetView>
  </sheetViews>
  <sheetFormatPr defaultColWidth="8.7109375" defaultRowHeight="14.45"/>
  <cols>
    <col min="1" max="1" width="7.7109375" customWidth="1"/>
    <col min="2" max="2" width="7" customWidth="1"/>
    <col min="3" max="3" width="7.28515625" customWidth="1"/>
    <col min="4" max="4" width="8.85546875" customWidth="1"/>
    <col min="5" max="5" width="7.7109375" customWidth="1"/>
    <col min="6" max="6" width="8.7109375" customWidth="1"/>
    <col min="7" max="7" width="9.28515625" customWidth="1"/>
    <col min="8" max="8" width="9.7109375" customWidth="1"/>
    <col min="9" max="9" width="11.28515625" customWidth="1"/>
    <col min="10" max="10" width="10.85546875" customWidth="1"/>
    <col min="11" max="11" width="8.28515625" customWidth="1"/>
    <col min="12" max="12" width="10.28515625" customWidth="1"/>
    <col min="14" max="14" width="4.28515625" customWidth="1"/>
    <col min="15" max="15" width="4.140625" hidden="1" customWidth="1"/>
    <col min="16" max="16" width="5.7109375" hidden="1" customWidth="1"/>
    <col min="17" max="17" width="15.7109375" customWidth="1"/>
    <col min="18" max="18" width="29.7109375" customWidth="1"/>
  </cols>
  <sheetData>
    <row r="1" spans="1:20" ht="48">
      <c r="A1" s="28" t="s">
        <v>16</v>
      </c>
      <c r="B1" s="28" t="s">
        <v>17</v>
      </c>
      <c r="C1" s="28" t="s">
        <v>18</v>
      </c>
      <c r="D1" s="28" t="s">
        <v>19</v>
      </c>
      <c r="E1" s="28" t="s">
        <v>20</v>
      </c>
      <c r="F1" s="28" t="s">
        <v>21</v>
      </c>
      <c r="G1" s="29" t="s">
        <v>22</v>
      </c>
      <c r="H1" s="28" t="s">
        <v>23</v>
      </c>
      <c r="I1" s="28" t="s">
        <v>24</v>
      </c>
      <c r="J1" s="28" t="s">
        <v>25</v>
      </c>
      <c r="K1" s="28" t="s">
        <v>26</v>
      </c>
      <c r="L1" s="28" t="s">
        <v>27</v>
      </c>
      <c r="M1" s="3"/>
    </row>
    <row r="2" spans="1:20" ht="15">
      <c r="A2" s="28" t="s">
        <v>28</v>
      </c>
      <c r="B2" s="28">
        <f>S6</f>
        <v>12000</v>
      </c>
      <c r="C2" s="28">
        <f>Доходы!B2*S4</f>
        <v>1320</v>
      </c>
      <c r="D2" s="30">
        <f>C2*S5</f>
        <v>132</v>
      </c>
      <c r="E2" s="31">
        <f t="shared" ref="E2:E13" si="0">C2*$S$10</f>
        <v>10.56</v>
      </c>
      <c r="F2" s="32">
        <f>D2*S3+E2*$S$11</f>
        <v>71137.440000000002</v>
      </c>
      <c r="G2" s="31">
        <f t="shared" ref="G2:G7" si="1">C2*$S$8</f>
        <v>52.800000000000004</v>
      </c>
      <c r="H2" s="33">
        <f t="shared" ref="H2:H13" si="2">G2*$S$9</f>
        <v>15840.000000000002</v>
      </c>
      <c r="I2" s="31">
        <f>(C2-D2-E2)*$S$14</f>
        <v>353.23200000000003</v>
      </c>
      <c r="J2" s="31">
        <f>(D2+E2)*$S$15</f>
        <v>4.2767999999999997</v>
      </c>
      <c r="K2" s="31">
        <f>(I2+J2)*$S$12</f>
        <v>71501.759999999995</v>
      </c>
      <c r="L2" s="31">
        <f>F2+H2+K2</f>
        <v>158479.20000000001</v>
      </c>
      <c r="R2" s="21" t="s">
        <v>29</v>
      </c>
      <c r="S2" s="21" t="s">
        <v>30</v>
      </c>
      <c r="T2" s="21"/>
    </row>
    <row r="3" spans="1:20" ht="15">
      <c r="A3" s="28" t="s">
        <v>31</v>
      </c>
      <c r="B3" s="28">
        <f t="shared" ref="B3:B13" si="3">B2*(1+$S$7)</f>
        <v>13799.999999999998</v>
      </c>
      <c r="C3" s="30">
        <f t="shared" ref="C3:C13" si="4">B3*$S$4</f>
        <v>1517.9999999999998</v>
      </c>
      <c r="D3" s="30">
        <f>C3*$S$5</f>
        <v>151.79999999999998</v>
      </c>
      <c r="E3" s="31">
        <f t="shared" si="0"/>
        <v>12.143999999999998</v>
      </c>
      <c r="F3" s="32">
        <f t="shared" ref="F3:F13" si="5">D3*299+E3*$S$11</f>
        <v>81808.055999999982</v>
      </c>
      <c r="G3" s="31">
        <f t="shared" si="1"/>
        <v>60.719999999999992</v>
      </c>
      <c r="H3" s="33">
        <f t="shared" si="2"/>
        <v>18215.999999999996</v>
      </c>
      <c r="I3" s="31">
        <f t="shared" ref="I3:I13" si="6">(C3-D3-E3)*$S$14</f>
        <v>406.21679999999992</v>
      </c>
      <c r="J3" s="31">
        <f t="shared" ref="J3:J13" si="7">(D3+E3)*$S$15</f>
        <v>4.9183199999999996</v>
      </c>
      <c r="K3" s="31">
        <f t="shared" ref="K3:K13" si="8">(I3+J3)*$S$12</f>
        <v>82227.023999999976</v>
      </c>
      <c r="L3" s="31">
        <f t="shared" ref="L3:L13" si="9">F3+H3+K3</f>
        <v>182251.07999999996</v>
      </c>
      <c r="R3" s="21" t="s">
        <v>32</v>
      </c>
      <c r="S3" s="22">
        <v>299</v>
      </c>
      <c r="T3" s="21"/>
    </row>
    <row r="4" spans="1:20" ht="15">
      <c r="A4" s="28" t="s">
        <v>33</v>
      </c>
      <c r="B4" s="30">
        <f t="shared" si="3"/>
        <v>15869.999999999996</v>
      </c>
      <c r="C4" s="30">
        <f t="shared" si="4"/>
        <v>1745.6999999999996</v>
      </c>
      <c r="D4" s="30">
        <f>C4*$S$5</f>
        <v>174.56999999999996</v>
      </c>
      <c r="E4" s="31">
        <f t="shared" si="0"/>
        <v>13.965599999999997</v>
      </c>
      <c r="F4" s="32">
        <f t="shared" si="5"/>
        <v>94079.264399999985</v>
      </c>
      <c r="G4" s="31">
        <f t="shared" si="1"/>
        <v>69.827999999999989</v>
      </c>
      <c r="H4" s="33">
        <f t="shared" si="2"/>
        <v>20948.399999999998</v>
      </c>
      <c r="I4" s="31">
        <f t="shared" si="6"/>
        <v>467.14931999999988</v>
      </c>
      <c r="J4" s="31">
        <f t="shared" si="7"/>
        <v>5.6560679999999985</v>
      </c>
      <c r="K4" s="31">
        <f t="shared" si="8"/>
        <v>94561.077599999975</v>
      </c>
      <c r="L4" s="31">
        <f t="shared" si="9"/>
        <v>209588.74199999997</v>
      </c>
      <c r="R4" s="21" t="s">
        <v>34</v>
      </c>
      <c r="S4" s="22">
        <v>0.11</v>
      </c>
      <c r="T4" s="21" t="s">
        <v>35</v>
      </c>
    </row>
    <row r="5" spans="1:20" ht="15">
      <c r="A5" s="28" t="s">
        <v>36</v>
      </c>
      <c r="B5" s="30">
        <f t="shared" si="3"/>
        <v>18250.499999999993</v>
      </c>
      <c r="C5" s="30">
        <f t="shared" si="4"/>
        <v>2007.5549999999992</v>
      </c>
      <c r="D5" s="30">
        <f>C5*$S$5</f>
        <v>200.75549999999993</v>
      </c>
      <c r="E5" s="31">
        <f t="shared" si="0"/>
        <v>16.060439999999993</v>
      </c>
      <c r="F5" s="32">
        <f t="shared" si="5"/>
        <v>108191.15405999996</v>
      </c>
      <c r="G5" s="31">
        <f t="shared" si="1"/>
        <v>80.302199999999971</v>
      </c>
      <c r="H5" s="33">
        <f t="shared" si="2"/>
        <v>24090.659999999993</v>
      </c>
      <c r="I5" s="31">
        <f t="shared" si="6"/>
        <v>537.22171799999978</v>
      </c>
      <c r="J5" s="31">
        <f t="shared" si="7"/>
        <v>6.5044781999999977</v>
      </c>
      <c r="K5" s="31">
        <f t="shared" si="8"/>
        <v>108745.23923999995</v>
      </c>
      <c r="L5" s="31">
        <f t="shared" si="9"/>
        <v>241027.05329999991</v>
      </c>
      <c r="R5" s="21" t="s">
        <v>37</v>
      </c>
      <c r="S5" s="22">
        <v>0.1</v>
      </c>
      <c r="T5" s="21">
        <v>0.15</v>
      </c>
    </row>
    <row r="6" spans="1:20" ht="15">
      <c r="A6" s="28" t="s">
        <v>38</v>
      </c>
      <c r="B6" s="30">
        <f t="shared" si="3"/>
        <v>20988.07499999999</v>
      </c>
      <c r="C6" s="30">
        <f t="shared" si="4"/>
        <v>2308.6882499999988</v>
      </c>
      <c r="D6" s="30">
        <f>C6*$S$5</f>
        <v>230.8688249999999</v>
      </c>
      <c r="E6" s="31">
        <f t="shared" si="0"/>
        <v>18.469505999999992</v>
      </c>
      <c r="F6" s="32">
        <f t="shared" si="5"/>
        <v>124419.82716899994</v>
      </c>
      <c r="G6" s="31">
        <f t="shared" si="1"/>
        <v>92.347529999999949</v>
      </c>
      <c r="H6" s="33">
        <f t="shared" si="2"/>
        <v>27704.258999999984</v>
      </c>
      <c r="I6" s="31">
        <f t="shared" si="6"/>
        <v>617.80497569999966</v>
      </c>
      <c r="J6" s="31">
        <f t="shared" si="7"/>
        <v>7.4801499299999969</v>
      </c>
      <c r="K6" s="31">
        <f t="shared" si="8"/>
        <v>125057.02512599993</v>
      </c>
      <c r="L6" s="31">
        <f t="shared" si="9"/>
        <v>277181.11129499984</v>
      </c>
      <c r="R6" s="21" t="s">
        <v>39</v>
      </c>
      <c r="S6" s="22">
        <v>12000</v>
      </c>
      <c r="T6" s="21"/>
    </row>
    <row r="7" spans="1:20" ht="15">
      <c r="A7" s="28" t="s">
        <v>40</v>
      </c>
      <c r="B7" s="30">
        <f t="shared" si="3"/>
        <v>24136.286249999986</v>
      </c>
      <c r="C7" s="30">
        <f t="shared" si="4"/>
        <v>2654.9914874999986</v>
      </c>
      <c r="D7" s="30">
        <f>C7*$S$5</f>
        <v>265.49914874999985</v>
      </c>
      <c r="E7" s="31">
        <f t="shared" si="0"/>
        <v>21.239931899999988</v>
      </c>
      <c r="F7" s="32">
        <f t="shared" si="5"/>
        <v>143082.80124434992</v>
      </c>
      <c r="G7" s="31">
        <f t="shared" si="1"/>
        <v>106.19965949999994</v>
      </c>
      <c r="H7" s="33">
        <f t="shared" si="2"/>
        <v>31859.897849999983</v>
      </c>
      <c r="I7" s="31">
        <f t="shared" si="6"/>
        <v>710.47572205499966</v>
      </c>
      <c r="J7" s="31">
        <f t="shared" si="7"/>
        <v>8.6021724194999951</v>
      </c>
      <c r="K7" s="31">
        <f t="shared" si="8"/>
        <v>143815.57889489993</v>
      </c>
      <c r="L7" s="31">
        <f t="shared" si="9"/>
        <v>318758.27798924979</v>
      </c>
      <c r="R7" s="21" t="s">
        <v>41</v>
      </c>
      <c r="S7" s="22">
        <v>0.15</v>
      </c>
      <c r="T7" s="21" t="s">
        <v>42</v>
      </c>
    </row>
    <row r="8" spans="1:20" ht="15">
      <c r="A8" s="28" t="s">
        <v>43</v>
      </c>
      <c r="B8" s="30">
        <f>B7*(1+$S$7)</f>
        <v>27756.729187499983</v>
      </c>
      <c r="C8" s="30">
        <f t="shared" si="4"/>
        <v>3053.2402106249983</v>
      </c>
      <c r="D8" s="30">
        <f t="shared" ref="D8:D13" si="10">C8*$T$5</f>
        <v>457.98603159374971</v>
      </c>
      <c r="E8" s="31">
        <f t="shared" si="0"/>
        <v>24.425921684999988</v>
      </c>
      <c r="F8" s="32">
        <f t="shared" si="5"/>
        <v>210191.16257984613</v>
      </c>
      <c r="G8" s="31">
        <f t="shared" ref="G8:G13" si="11">C8*$T$8</f>
        <v>183.19441263749988</v>
      </c>
      <c r="H8" s="33">
        <f t="shared" si="2"/>
        <v>54958.323791249961</v>
      </c>
      <c r="I8" s="31">
        <f t="shared" si="6"/>
        <v>771.24847720387447</v>
      </c>
      <c r="J8" s="31">
        <f t="shared" si="7"/>
        <v>14.47235859836249</v>
      </c>
      <c r="K8" s="31">
        <f t="shared" si="8"/>
        <v>157144.1671604474</v>
      </c>
      <c r="L8" s="31">
        <f t="shared" si="9"/>
        <v>422293.6535315435</v>
      </c>
      <c r="R8" s="23" t="s">
        <v>22</v>
      </c>
      <c r="S8" s="24">
        <v>0.04</v>
      </c>
      <c r="T8" s="21">
        <v>0.06</v>
      </c>
    </row>
    <row r="9" spans="1:20" ht="15">
      <c r="A9" s="28" t="s">
        <v>44</v>
      </c>
      <c r="B9" s="30">
        <f t="shared" si="3"/>
        <v>31920.238565624979</v>
      </c>
      <c r="C9" s="30">
        <f t="shared" si="4"/>
        <v>3511.2262422187478</v>
      </c>
      <c r="D9" s="30">
        <f t="shared" si="10"/>
        <v>526.6839363328121</v>
      </c>
      <c r="E9" s="31">
        <f t="shared" si="0"/>
        <v>28.089809937749983</v>
      </c>
      <c r="F9" s="32">
        <f t="shared" si="5"/>
        <v>241719.83696682303</v>
      </c>
      <c r="G9" s="31">
        <f t="shared" si="11"/>
        <v>210.67357453312485</v>
      </c>
      <c r="H9" s="33">
        <f t="shared" si="2"/>
        <v>63202.072359937454</v>
      </c>
      <c r="I9" s="31">
        <f t="shared" si="6"/>
        <v>886.93574878445565</v>
      </c>
      <c r="J9" s="31">
        <f t="shared" si="7"/>
        <v>16.643212388116865</v>
      </c>
      <c r="K9" s="31">
        <f t="shared" si="8"/>
        <v>180715.79223451449</v>
      </c>
      <c r="L9" s="31">
        <f t="shared" si="9"/>
        <v>485637.701561275</v>
      </c>
      <c r="R9" s="25" t="s">
        <v>45</v>
      </c>
      <c r="S9" s="26">
        <v>300</v>
      </c>
      <c r="T9" s="21"/>
    </row>
    <row r="10" spans="1:20" ht="15">
      <c r="A10" s="28" t="s">
        <v>46</v>
      </c>
      <c r="B10" s="30">
        <f t="shared" si="3"/>
        <v>36708.274350468724</v>
      </c>
      <c r="C10" s="30">
        <f t="shared" si="4"/>
        <v>4037.9101785515595</v>
      </c>
      <c r="D10" s="30">
        <f t="shared" si="10"/>
        <v>605.68652678273395</v>
      </c>
      <c r="E10" s="31">
        <f t="shared" si="0"/>
        <v>32.303281428412475</v>
      </c>
      <c r="F10" s="32">
        <f t="shared" si="5"/>
        <v>277977.81251184648</v>
      </c>
      <c r="G10" s="31">
        <f t="shared" si="11"/>
        <v>242.27461071309355</v>
      </c>
      <c r="H10" s="33">
        <f t="shared" si="2"/>
        <v>72682.383213928071</v>
      </c>
      <c r="I10" s="31">
        <f t="shared" si="6"/>
        <v>1019.9761111021239</v>
      </c>
      <c r="J10" s="31">
        <f t="shared" si="7"/>
        <v>19.13969424633439</v>
      </c>
      <c r="K10" s="31">
        <f t="shared" si="8"/>
        <v>207823.16106969165</v>
      </c>
      <c r="L10" s="31">
        <f t="shared" si="9"/>
        <v>558483.35679546627</v>
      </c>
      <c r="R10" s="21" t="s">
        <v>47</v>
      </c>
      <c r="S10" s="22">
        <v>8.0000000000000002E-3</v>
      </c>
      <c r="T10" s="21"/>
    </row>
    <row r="11" spans="1:20" ht="15">
      <c r="A11" s="28" t="s">
        <v>48</v>
      </c>
      <c r="B11" s="30">
        <f t="shared" si="3"/>
        <v>42214.515503039031</v>
      </c>
      <c r="C11" s="30">
        <f t="shared" si="4"/>
        <v>4643.5967053342938</v>
      </c>
      <c r="D11" s="30">
        <f t="shared" si="10"/>
        <v>696.53950580014407</v>
      </c>
      <c r="E11" s="31">
        <f t="shared" si="0"/>
        <v>37.14877364267435</v>
      </c>
      <c r="F11" s="32">
        <f t="shared" si="5"/>
        <v>319674.48438862344</v>
      </c>
      <c r="G11" s="31">
        <f t="shared" si="11"/>
        <v>278.61580232005764</v>
      </c>
      <c r="H11" s="33">
        <f t="shared" si="2"/>
        <v>83584.740696017296</v>
      </c>
      <c r="I11" s="31">
        <f t="shared" si="6"/>
        <v>1172.9725277674427</v>
      </c>
      <c r="J11" s="31">
        <f t="shared" si="7"/>
        <v>22.010648383284551</v>
      </c>
      <c r="K11" s="31">
        <f t="shared" si="8"/>
        <v>238996.63523014548</v>
      </c>
      <c r="L11" s="31">
        <f t="shared" si="9"/>
        <v>642255.8603147862</v>
      </c>
      <c r="R11" s="21" t="s">
        <v>49</v>
      </c>
      <c r="S11" s="22">
        <v>2999</v>
      </c>
      <c r="T11" s="21"/>
    </row>
    <row r="12" spans="1:20" ht="15">
      <c r="A12" s="28" t="s">
        <v>50</v>
      </c>
      <c r="B12" s="30">
        <f t="shared" si="3"/>
        <v>48546.692828494881</v>
      </c>
      <c r="C12" s="30">
        <f t="shared" si="4"/>
        <v>5340.136211134437</v>
      </c>
      <c r="D12" s="30">
        <f t="shared" si="10"/>
        <v>801.02043167016552</v>
      </c>
      <c r="E12" s="31">
        <f t="shared" si="0"/>
        <v>42.721089689075498</v>
      </c>
      <c r="F12" s="32">
        <f t="shared" si="5"/>
        <v>367625.65704691689</v>
      </c>
      <c r="G12" s="31">
        <f t="shared" si="11"/>
        <v>320.40817266806619</v>
      </c>
      <c r="H12" s="33">
        <f t="shared" si="2"/>
        <v>96122.451800419862</v>
      </c>
      <c r="I12" s="31">
        <f t="shared" si="6"/>
        <v>1348.9184069325586</v>
      </c>
      <c r="J12" s="31">
        <f t="shared" si="7"/>
        <v>25.312245640777228</v>
      </c>
      <c r="K12" s="31">
        <f t="shared" si="8"/>
        <v>274846.13051466719</v>
      </c>
      <c r="L12" s="31">
        <f t="shared" si="9"/>
        <v>738594.23936200398</v>
      </c>
      <c r="R12" s="21" t="s">
        <v>51</v>
      </c>
      <c r="S12" s="22">
        <v>200</v>
      </c>
      <c r="T12" s="21"/>
    </row>
    <row r="13" spans="1:20" ht="15">
      <c r="A13" s="28" t="s">
        <v>52</v>
      </c>
      <c r="B13" s="30">
        <f t="shared" si="3"/>
        <v>55828.696752769109</v>
      </c>
      <c r="C13" s="30">
        <f t="shared" si="4"/>
        <v>6141.1566428046017</v>
      </c>
      <c r="D13" s="30">
        <f t="shared" si="10"/>
        <v>921.17349642069019</v>
      </c>
      <c r="E13" s="31">
        <f t="shared" si="0"/>
        <v>49.129253142436816</v>
      </c>
      <c r="F13" s="32">
        <f t="shared" si="5"/>
        <v>422769.50560395443</v>
      </c>
      <c r="G13" s="31">
        <f t="shared" si="11"/>
        <v>368.46939856827606</v>
      </c>
      <c r="H13" s="33">
        <f t="shared" si="2"/>
        <v>110540.81957048282</v>
      </c>
      <c r="I13" s="31">
        <f t="shared" si="6"/>
        <v>1551.2561679724424</v>
      </c>
      <c r="J13" s="31">
        <f t="shared" si="7"/>
        <v>29.109082486893808</v>
      </c>
      <c r="K13" s="31">
        <f t="shared" si="8"/>
        <v>316073.05009186728</v>
      </c>
      <c r="L13" s="31">
        <f t="shared" si="9"/>
        <v>849383.37526630447</v>
      </c>
      <c r="R13" s="21" t="s">
        <v>53</v>
      </c>
      <c r="S13" s="27">
        <v>0.15</v>
      </c>
      <c r="T13" s="21"/>
    </row>
    <row r="14" spans="1:20" ht="15">
      <c r="A14" s="28" t="s">
        <v>54</v>
      </c>
      <c r="B14" s="30">
        <f t="shared" ref="B14:B37" si="12">B13*(1+$S$7)</f>
        <v>64203.00126568447</v>
      </c>
      <c r="C14" s="30">
        <f t="shared" ref="C14:C25" si="13">B14*$S$4</f>
        <v>7062.3301392252915</v>
      </c>
      <c r="D14" s="30">
        <f t="shared" ref="D14:D25" si="14">C14*$T$5</f>
        <v>1059.3495208837937</v>
      </c>
      <c r="E14" s="31">
        <f t="shared" ref="E14:E25" si="15">C14*$S$10</f>
        <v>56.498641113802336</v>
      </c>
      <c r="F14" s="32">
        <f t="shared" ref="F14:F25" si="16">D14*299+E14*$S$11</f>
        <v>486184.93144454749</v>
      </c>
      <c r="G14" s="31">
        <f t="shared" ref="G14:G25" si="17">C14*$T$8</f>
        <v>423.7398083535175</v>
      </c>
      <c r="H14" s="33">
        <f t="shared" ref="H14:H25" si="18">G14*$S$9</f>
        <v>127121.94250605525</v>
      </c>
      <c r="I14" s="31">
        <f t="shared" ref="I14:I25" si="19">(C14-D14-E14)*$S$14</f>
        <v>1783.9445931683085</v>
      </c>
      <c r="J14" s="31">
        <f t="shared" ref="J14:J25" si="20">(D14+E14)*$S$15</f>
        <v>33.475444859927876</v>
      </c>
      <c r="K14" s="31">
        <f t="shared" ref="K14:K25" si="21">(I14+J14)*$S$12</f>
        <v>363484.00760564726</v>
      </c>
      <c r="L14" s="31">
        <f t="shared" ref="L14:L25" si="22">F14+H14+K14</f>
        <v>976790.88155624992</v>
      </c>
      <c r="R14" s="21" t="s">
        <v>55</v>
      </c>
      <c r="S14" s="27">
        <v>0.3</v>
      </c>
      <c r="T14" s="21"/>
    </row>
    <row r="15" spans="1:20" ht="15">
      <c r="A15" s="28" t="s">
        <v>56</v>
      </c>
      <c r="B15" s="30">
        <f t="shared" si="12"/>
        <v>73833.451455537128</v>
      </c>
      <c r="C15" s="30">
        <f t="shared" si="13"/>
        <v>8121.6796601090837</v>
      </c>
      <c r="D15" s="30">
        <f t="shared" si="14"/>
        <v>1218.2519490163625</v>
      </c>
      <c r="E15" s="31">
        <f t="shared" si="15"/>
        <v>64.973437280872673</v>
      </c>
      <c r="F15" s="32">
        <f t="shared" si="16"/>
        <v>559112.67116122949</v>
      </c>
      <c r="G15" s="31">
        <f t="shared" si="17"/>
        <v>487.30077960654501</v>
      </c>
      <c r="H15" s="33">
        <f t="shared" si="18"/>
        <v>146190.2338819635</v>
      </c>
      <c r="I15" s="31">
        <f t="shared" si="19"/>
        <v>2051.5362821435547</v>
      </c>
      <c r="J15" s="31">
        <f t="shared" si="20"/>
        <v>38.496761588917053</v>
      </c>
      <c r="K15" s="31">
        <f t="shared" si="21"/>
        <v>418006.6087464944</v>
      </c>
      <c r="L15" s="31">
        <f t="shared" si="22"/>
        <v>1123309.5137896873</v>
      </c>
      <c r="R15" s="21" t="s">
        <v>57</v>
      </c>
      <c r="S15" s="27">
        <v>0.03</v>
      </c>
      <c r="T15" s="21"/>
    </row>
    <row r="16" spans="1:20" ht="15">
      <c r="A16" s="28" t="s">
        <v>58</v>
      </c>
      <c r="B16" s="30">
        <f t="shared" si="12"/>
        <v>84908.469173867692</v>
      </c>
      <c r="C16" s="30">
        <f t="shared" si="13"/>
        <v>9339.9316091254459</v>
      </c>
      <c r="D16" s="30">
        <f t="shared" si="14"/>
        <v>1400.9897413688168</v>
      </c>
      <c r="E16" s="31">
        <f t="shared" si="15"/>
        <v>74.719452873003576</v>
      </c>
      <c r="F16" s="32">
        <f t="shared" si="16"/>
        <v>642979.57183541392</v>
      </c>
      <c r="G16" s="31">
        <f t="shared" si="17"/>
        <v>560.39589654752672</v>
      </c>
      <c r="H16" s="33">
        <f t="shared" si="18"/>
        <v>168118.76896425802</v>
      </c>
      <c r="I16" s="31">
        <f t="shared" si="19"/>
        <v>2359.2667244650875</v>
      </c>
      <c r="J16" s="31">
        <f t="shared" si="20"/>
        <v>44.271275827254605</v>
      </c>
      <c r="K16" s="31">
        <f t="shared" si="21"/>
        <v>480707.60005846841</v>
      </c>
      <c r="L16" s="31">
        <f t="shared" si="22"/>
        <v>1291805.9408581404</v>
      </c>
      <c r="R16" t="s">
        <v>59</v>
      </c>
    </row>
    <row r="17" spans="1:18" ht="15">
      <c r="A17" s="28" t="s">
        <v>60</v>
      </c>
      <c r="B17" s="30">
        <f t="shared" si="12"/>
        <v>97644.739549947844</v>
      </c>
      <c r="C17" s="30">
        <f t="shared" si="13"/>
        <v>10740.921350494264</v>
      </c>
      <c r="D17" s="30">
        <f t="shared" si="14"/>
        <v>1611.1382025741395</v>
      </c>
      <c r="E17" s="31">
        <f t="shared" si="15"/>
        <v>85.927370803954105</v>
      </c>
      <c r="F17" s="32">
        <f t="shared" si="16"/>
        <v>739426.50761072605</v>
      </c>
      <c r="G17" s="31">
        <f t="shared" si="17"/>
        <v>644.45528102965579</v>
      </c>
      <c r="H17" s="33">
        <f t="shared" si="18"/>
        <v>193336.58430889674</v>
      </c>
      <c r="I17" s="31">
        <f t="shared" si="19"/>
        <v>2713.1567331348506</v>
      </c>
      <c r="J17" s="31">
        <f t="shared" si="20"/>
        <v>50.911967201342804</v>
      </c>
      <c r="K17" s="31">
        <f t="shared" si="21"/>
        <v>552813.74006723869</v>
      </c>
      <c r="L17" s="31">
        <f t="shared" si="22"/>
        <v>1485576.8319868615</v>
      </c>
    </row>
    <row r="18" spans="1:18" ht="15">
      <c r="A18" s="28" t="s">
        <v>61</v>
      </c>
      <c r="B18" s="30">
        <f t="shared" si="12"/>
        <v>112291.45048244001</v>
      </c>
      <c r="C18" s="30">
        <f t="shared" si="13"/>
        <v>12352.0595530684</v>
      </c>
      <c r="D18" s="30">
        <f t="shared" si="14"/>
        <v>1852.8089329602599</v>
      </c>
      <c r="E18" s="31">
        <f t="shared" si="15"/>
        <v>98.816476424547204</v>
      </c>
      <c r="F18" s="32">
        <f t="shared" si="16"/>
        <v>850340.48375233484</v>
      </c>
      <c r="G18" s="31">
        <f t="shared" si="17"/>
        <v>741.12357318410398</v>
      </c>
      <c r="H18" s="33">
        <f t="shared" si="18"/>
        <v>222337.07195523119</v>
      </c>
      <c r="I18" s="31">
        <f t="shared" si="19"/>
        <v>3120.1302431050785</v>
      </c>
      <c r="J18" s="31">
        <f t="shared" si="20"/>
        <v>58.548762281544207</v>
      </c>
      <c r="K18" s="31">
        <f t="shared" si="21"/>
        <v>635735.80107732455</v>
      </c>
      <c r="L18" s="31">
        <f t="shared" si="22"/>
        <v>1708413.3567848904</v>
      </c>
    </row>
    <row r="19" spans="1:18" ht="15">
      <c r="A19" s="28" t="s">
        <v>62</v>
      </c>
      <c r="B19" s="30">
        <f t="shared" si="12"/>
        <v>129135.168054806</v>
      </c>
      <c r="C19" s="30">
        <f t="shared" si="13"/>
        <v>14204.868486028659</v>
      </c>
      <c r="D19" s="30">
        <f t="shared" si="14"/>
        <v>2130.730272904299</v>
      </c>
      <c r="E19" s="31">
        <f t="shared" si="15"/>
        <v>113.63894788822928</v>
      </c>
      <c r="F19" s="32">
        <f t="shared" si="16"/>
        <v>977891.55631518504</v>
      </c>
      <c r="G19" s="31">
        <f t="shared" si="17"/>
        <v>852.29210916171951</v>
      </c>
      <c r="H19" s="33">
        <f t="shared" si="18"/>
        <v>255687.63274851584</v>
      </c>
      <c r="I19" s="31">
        <f t="shared" si="19"/>
        <v>3588.1497795708392</v>
      </c>
      <c r="J19" s="31">
        <f t="shared" si="20"/>
        <v>67.331076623775843</v>
      </c>
      <c r="K19" s="31">
        <f t="shared" si="21"/>
        <v>731096.17123892298</v>
      </c>
      <c r="L19" s="31">
        <f t="shared" si="22"/>
        <v>1964675.3603026238</v>
      </c>
    </row>
    <row r="20" spans="1:18" ht="15">
      <c r="A20" s="28" t="s">
        <v>63</v>
      </c>
      <c r="B20" s="30">
        <f t="shared" si="12"/>
        <v>148505.44326302689</v>
      </c>
      <c r="C20" s="30">
        <f t="shared" si="13"/>
        <v>16335.598758932958</v>
      </c>
      <c r="D20" s="30">
        <f t="shared" si="14"/>
        <v>2450.3398138399434</v>
      </c>
      <c r="E20" s="31">
        <f t="shared" si="15"/>
        <v>130.68479007146365</v>
      </c>
      <c r="F20" s="32">
        <f t="shared" si="16"/>
        <v>1124575.2897624625</v>
      </c>
      <c r="G20" s="31">
        <f t="shared" si="17"/>
        <v>980.13592553597744</v>
      </c>
      <c r="H20" s="33">
        <f t="shared" si="18"/>
        <v>294040.77766079322</v>
      </c>
      <c r="I20" s="31">
        <f t="shared" si="19"/>
        <v>4126.3722465064648</v>
      </c>
      <c r="J20" s="31">
        <f t="shared" si="20"/>
        <v>77.430738117342216</v>
      </c>
      <c r="K20" s="31">
        <f t="shared" si="21"/>
        <v>840760.59692476143</v>
      </c>
      <c r="L20" s="31">
        <f t="shared" si="22"/>
        <v>2259376.664348017</v>
      </c>
    </row>
    <row r="21" spans="1:18" ht="15">
      <c r="A21" s="28" t="s">
        <v>64</v>
      </c>
      <c r="B21" s="30">
        <f t="shared" si="12"/>
        <v>170781.2597524809</v>
      </c>
      <c r="C21" s="30">
        <f t="shared" si="13"/>
        <v>18785.938572772899</v>
      </c>
      <c r="D21" s="30">
        <f t="shared" si="14"/>
        <v>2817.8907859159349</v>
      </c>
      <c r="E21" s="31">
        <f t="shared" si="15"/>
        <v>150.28750858218319</v>
      </c>
      <c r="F21" s="32">
        <f t="shared" si="16"/>
        <v>1293261.5832268319</v>
      </c>
      <c r="G21" s="31">
        <f t="shared" si="17"/>
        <v>1127.1563143663739</v>
      </c>
      <c r="H21" s="33">
        <f t="shared" si="18"/>
        <v>338146.89430991217</v>
      </c>
      <c r="I21" s="31">
        <f t="shared" si="19"/>
        <v>4745.3280834824336</v>
      </c>
      <c r="J21" s="31">
        <f t="shared" si="20"/>
        <v>89.045348834943539</v>
      </c>
      <c r="K21" s="31">
        <f t="shared" si="21"/>
        <v>966874.68646347546</v>
      </c>
      <c r="L21" s="31">
        <f t="shared" si="22"/>
        <v>2598283.1640002197</v>
      </c>
    </row>
    <row r="22" spans="1:18" ht="15">
      <c r="A22" s="28" t="s">
        <v>65</v>
      </c>
      <c r="B22" s="30">
        <f t="shared" si="12"/>
        <v>196398.44871535301</v>
      </c>
      <c r="C22" s="30">
        <f t="shared" si="13"/>
        <v>21603.829358688832</v>
      </c>
      <c r="D22" s="30">
        <f t="shared" si="14"/>
        <v>3240.5744038033249</v>
      </c>
      <c r="E22" s="31">
        <f t="shared" si="15"/>
        <v>172.83063486951067</v>
      </c>
      <c r="F22" s="32">
        <f t="shared" si="16"/>
        <v>1487250.8207108567</v>
      </c>
      <c r="G22" s="31">
        <f t="shared" si="17"/>
        <v>1296.2297615213299</v>
      </c>
      <c r="H22" s="33">
        <f t="shared" si="18"/>
        <v>388868.92845639895</v>
      </c>
      <c r="I22" s="31">
        <f t="shared" si="19"/>
        <v>5457.1272960047982</v>
      </c>
      <c r="J22" s="31">
        <f t="shared" si="20"/>
        <v>102.40215116018506</v>
      </c>
      <c r="K22" s="31">
        <f t="shared" si="21"/>
        <v>1111905.8894329965</v>
      </c>
      <c r="L22" s="31">
        <f t="shared" si="22"/>
        <v>2988025.6386002521</v>
      </c>
    </row>
    <row r="23" spans="1:18" ht="15">
      <c r="A23" s="28" t="s">
        <v>66</v>
      </c>
      <c r="B23" s="30">
        <f t="shared" si="12"/>
        <v>225858.21602265595</v>
      </c>
      <c r="C23" s="30">
        <f t="shared" si="13"/>
        <v>24844.403762492155</v>
      </c>
      <c r="D23" s="30">
        <f t="shared" si="14"/>
        <v>3726.660564373823</v>
      </c>
      <c r="E23" s="31">
        <f t="shared" si="15"/>
        <v>198.75523009993725</v>
      </c>
      <c r="F23" s="32">
        <f t="shared" si="16"/>
        <v>1710338.4438174847</v>
      </c>
      <c r="G23" s="31">
        <f t="shared" si="17"/>
        <v>1490.6642257495291</v>
      </c>
      <c r="H23" s="33">
        <f t="shared" si="18"/>
        <v>447199.26772485871</v>
      </c>
      <c r="I23" s="31">
        <f t="shared" si="19"/>
        <v>6275.6963904055183</v>
      </c>
      <c r="J23" s="31">
        <f t="shared" si="20"/>
        <v>117.76247383421281</v>
      </c>
      <c r="K23" s="31">
        <f t="shared" si="21"/>
        <v>1278691.7728479463</v>
      </c>
      <c r="L23" s="31">
        <f t="shared" si="22"/>
        <v>3436229.4843902895</v>
      </c>
    </row>
    <row r="24" spans="1:18" ht="15">
      <c r="A24" s="28" t="s">
        <v>67</v>
      </c>
      <c r="B24" s="30">
        <f t="shared" si="12"/>
        <v>259736.94842605432</v>
      </c>
      <c r="C24" s="30">
        <f t="shared" si="13"/>
        <v>28571.064326865977</v>
      </c>
      <c r="D24" s="30">
        <f t="shared" si="14"/>
        <v>4285.6596490298962</v>
      </c>
      <c r="E24" s="31">
        <f t="shared" si="15"/>
        <v>228.56851461492781</v>
      </c>
      <c r="F24" s="32">
        <f t="shared" si="16"/>
        <v>1966889.2103901072</v>
      </c>
      <c r="G24" s="31">
        <f t="shared" si="17"/>
        <v>1714.2638596119587</v>
      </c>
      <c r="H24" s="33">
        <f t="shared" si="18"/>
        <v>514279.15788358758</v>
      </c>
      <c r="I24" s="31">
        <f t="shared" si="19"/>
        <v>7217.0508489663453</v>
      </c>
      <c r="J24" s="31">
        <f t="shared" si="20"/>
        <v>135.42684490934471</v>
      </c>
      <c r="K24" s="31">
        <f t="shared" si="21"/>
        <v>1470495.5387751379</v>
      </c>
      <c r="L24" s="31">
        <f t="shared" si="22"/>
        <v>3951663.9070488326</v>
      </c>
    </row>
    <row r="25" spans="1:18" ht="15">
      <c r="A25" s="28" t="s">
        <v>68</v>
      </c>
      <c r="B25" s="30">
        <f t="shared" si="12"/>
        <v>298697.49068996246</v>
      </c>
      <c r="C25" s="30">
        <f t="shared" si="13"/>
        <v>32856.723975895868</v>
      </c>
      <c r="D25" s="30">
        <f t="shared" si="14"/>
        <v>4928.5085963843803</v>
      </c>
      <c r="E25" s="31">
        <f t="shared" si="15"/>
        <v>262.85379180716694</v>
      </c>
      <c r="F25" s="32">
        <f t="shared" si="16"/>
        <v>2261922.5919486233</v>
      </c>
      <c r="G25" s="31">
        <f t="shared" si="17"/>
        <v>1971.403438553752</v>
      </c>
      <c r="H25" s="33">
        <f t="shared" si="18"/>
        <v>591421.03156612557</v>
      </c>
      <c r="I25" s="31">
        <f t="shared" si="19"/>
        <v>8299.6084763112958</v>
      </c>
      <c r="J25" s="31">
        <f t="shared" si="20"/>
        <v>155.74087164574641</v>
      </c>
      <c r="K25" s="31">
        <f t="shared" si="21"/>
        <v>1691069.8695914084</v>
      </c>
      <c r="L25" s="31">
        <f t="shared" si="22"/>
        <v>4544413.4931061575</v>
      </c>
    </row>
    <row r="26" spans="1:18" ht="15">
      <c r="A26" s="28" t="s">
        <v>69</v>
      </c>
      <c r="B26" s="30">
        <f t="shared" si="12"/>
        <v>343502.11429345678</v>
      </c>
      <c r="C26" s="30">
        <f t="shared" ref="C26:C37" si="23">B26*$S$4</f>
        <v>37785.232572280249</v>
      </c>
      <c r="D26" s="30">
        <f t="shared" ref="D26:D37" si="24">C26*$T$5</f>
        <v>5667.7848858420375</v>
      </c>
      <c r="E26" s="31">
        <f t="shared" ref="E26:E37" si="25">C26*$S$10</f>
        <v>302.281860578242</v>
      </c>
      <c r="F26" s="32">
        <f t="shared" ref="F26:F37" si="26">D26*299+E26*$S$11</f>
        <v>2601210.9807409169</v>
      </c>
      <c r="G26" s="31">
        <f t="shared" ref="G26:G37" si="27">C26*$T$8</f>
        <v>2267.1139543368149</v>
      </c>
      <c r="H26" s="33">
        <f t="shared" ref="H26:H37" si="28">G26*$S$9</f>
        <v>680134.18630104442</v>
      </c>
      <c r="I26" s="31">
        <f t="shared" ref="I26:I37" si="29">(C26-D26-E26)*$S$14</f>
        <v>9544.5497477579902</v>
      </c>
      <c r="J26" s="31">
        <f t="shared" ref="J26:J37" si="30">(D26+E26)*$S$15</f>
        <v>179.1020023926084</v>
      </c>
      <c r="K26" s="31">
        <f t="shared" ref="K26:K37" si="31">(I26+J26)*$S$12</f>
        <v>1944730.3500301198</v>
      </c>
      <c r="L26" s="31">
        <f t="shared" ref="L26:L37" si="32">F26+H26+K26</f>
        <v>5226075.5170720806</v>
      </c>
    </row>
    <row r="27" spans="1:18" ht="15">
      <c r="A27" s="28" t="s">
        <v>70</v>
      </c>
      <c r="B27" s="30">
        <f t="shared" si="12"/>
        <v>395027.43143747526</v>
      </c>
      <c r="C27" s="30">
        <f t="shared" si="23"/>
        <v>43453.017458122282</v>
      </c>
      <c r="D27" s="30">
        <f t="shared" si="24"/>
        <v>6517.9526187183419</v>
      </c>
      <c r="E27" s="31">
        <f t="shared" si="25"/>
        <v>347.62413966497826</v>
      </c>
      <c r="F27" s="32">
        <f t="shared" si="26"/>
        <v>2991392.6278520543</v>
      </c>
      <c r="G27" s="31">
        <f t="shared" si="27"/>
        <v>2607.1810474873369</v>
      </c>
      <c r="H27" s="33">
        <f t="shared" si="28"/>
        <v>782154.31424620107</v>
      </c>
      <c r="I27" s="31">
        <f t="shared" si="29"/>
        <v>10976.232209921687</v>
      </c>
      <c r="J27" s="31">
        <f t="shared" si="30"/>
        <v>205.9673027514996</v>
      </c>
      <c r="K27" s="31">
        <f t="shared" si="31"/>
        <v>2236439.9025346376</v>
      </c>
      <c r="L27" s="31">
        <f t="shared" si="32"/>
        <v>6009986.8446328929</v>
      </c>
      <c r="Q27" t="s">
        <v>71</v>
      </c>
    </row>
    <row r="28" spans="1:18" ht="15">
      <c r="A28" s="28" t="s">
        <v>72</v>
      </c>
      <c r="B28" s="30">
        <f t="shared" si="12"/>
        <v>454281.54615309648</v>
      </c>
      <c r="C28" s="30">
        <f t="shared" si="23"/>
        <v>49970.970076840611</v>
      </c>
      <c r="D28" s="30">
        <f t="shared" si="24"/>
        <v>7495.6455115260915</v>
      </c>
      <c r="E28" s="31">
        <f t="shared" si="25"/>
        <v>399.76776061472492</v>
      </c>
      <c r="F28" s="32">
        <f t="shared" si="26"/>
        <v>3440101.5220298613</v>
      </c>
      <c r="G28" s="31">
        <f t="shared" si="27"/>
        <v>2998.2582046104367</v>
      </c>
      <c r="H28" s="33">
        <f t="shared" si="28"/>
        <v>899477.46138313098</v>
      </c>
      <c r="I28" s="31">
        <f t="shared" si="29"/>
        <v>12622.667041409937</v>
      </c>
      <c r="J28" s="31">
        <f t="shared" si="30"/>
        <v>236.86239816422449</v>
      </c>
      <c r="K28" s="31">
        <f t="shared" si="31"/>
        <v>2571905.8879148322</v>
      </c>
      <c r="L28" s="31">
        <f t="shared" si="32"/>
        <v>6911484.8713278249</v>
      </c>
      <c r="Q28" s="9">
        <f>F2/C2</f>
        <v>53.892000000000003</v>
      </c>
    </row>
    <row r="29" spans="1:18" ht="15">
      <c r="A29" s="28" t="s">
        <v>73</v>
      </c>
      <c r="B29" s="30">
        <f t="shared" si="12"/>
        <v>522423.77807606093</v>
      </c>
      <c r="C29" s="30">
        <f t="shared" si="23"/>
        <v>57466.615588366702</v>
      </c>
      <c r="D29" s="30">
        <f t="shared" si="24"/>
        <v>8619.9923382550041</v>
      </c>
      <c r="E29" s="31">
        <f t="shared" si="25"/>
        <v>459.7329247069336</v>
      </c>
      <c r="F29" s="32">
        <f t="shared" si="26"/>
        <v>3956116.7503343401</v>
      </c>
      <c r="G29" s="31">
        <f t="shared" si="27"/>
        <v>3447.9969353020019</v>
      </c>
      <c r="H29" s="33">
        <f t="shared" si="28"/>
        <v>1034399.0805906006</v>
      </c>
      <c r="I29" s="31">
        <f t="shared" si="29"/>
        <v>14516.067097621428</v>
      </c>
      <c r="J29" s="31">
        <f t="shared" si="30"/>
        <v>272.39175788885814</v>
      </c>
      <c r="K29" s="31">
        <f t="shared" si="31"/>
        <v>2957691.7711020573</v>
      </c>
      <c r="L29" s="31">
        <f t="shared" si="32"/>
        <v>7948207.602026999</v>
      </c>
      <c r="Q29" t="s">
        <v>74</v>
      </c>
    </row>
    <row r="30" spans="1:18" ht="15">
      <c r="A30" s="28" t="s">
        <v>75</v>
      </c>
      <c r="B30" s="30">
        <f t="shared" si="12"/>
        <v>600787.34478747007</v>
      </c>
      <c r="C30" s="30">
        <f t="shared" si="23"/>
        <v>66086.607926621713</v>
      </c>
      <c r="D30" s="30">
        <f t="shared" si="24"/>
        <v>9912.9911889932573</v>
      </c>
      <c r="E30" s="31">
        <f t="shared" si="25"/>
        <v>528.69286341297368</v>
      </c>
      <c r="F30" s="32">
        <f t="shared" si="26"/>
        <v>4549534.2628844921</v>
      </c>
      <c r="G30" s="31">
        <f t="shared" si="27"/>
        <v>3965.1964755973027</v>
      </c>
      <c r="H30" s="33">
        <f t="shared" si="28"/>
        <v>1189558.9426791908</v>
      </c>
      <c r="I30" s="31">
        <f t="shared" si="29"/>
        <v>16693.477162264644</v>
      </c>
      <c r="J30" s="31">
        <f t="shared" si="30"/>
        <v>313.25052157218693</v>
      </c>
      <c r="K30" s="31">
        <f t="shared" si="31"/>
        <v>3401345.5367673663</v>
      </c>
      <c r="L30" s="31">
        <f t="shared" si="32"/>
        <v>9140438.7423310503</v>
      </c>
      <c r="Q30" s="9">
        <f>K2/C2+H2/C2</f>
        <v>66.168000000000006</v>
      </c>
    </row>
    <row r="31" spans="1:18" ht="15">
      <c r="A31" s="28" t="s">
        <v>76</v>
      </c>
      <c r="B31" s="30">
        <f t="shared" si="12"/>
        <v>690905.44650559057</v>
      </c>
      <c r="C31" s="30">
        <f t="shared" si="23"/>
        <v>75999.599115614968</v>
      </c>
      <c r="D31" s="30">
        <f t="shared" si="24"/>
        <v>11399.939867342246</v>
      </c>
      <c r="E31" s="31">
        <f t="shared" si="25"/>
        <v>607.99679292491976</v>
      </c>
      <c r="F31" s="32">
        <f t="shared" si="26"/>
        <v>5231964.4023171663</v>
      </c>
      <c r="G31" s="31">
        <f t="shared" si="27"/>
        <v>4559.9759469368983</v>
      </c>
      <c r="H31" s="33">
        <f t="shared" si="28"/>
        <v>1367992.7840810695</v>
      </c>
      <c r="I31" s="31">
        <f t="shared" si="29"/>
        <v>19197.498736604339</v>
      </c>
      <c r="J31" s="31">
        <f t="shared" si="30"/>
        <v>360.23809980801497</v>
      </c>
      <c r="K31" s="31">
        <f t="shared" si="31"/>
        <v>3911547.3672824707</v>
      </c>
      <c r="L31" s="31">
        <f t="shared" si="32"/>
        <v>10511504.553680707</v>
      </c>
      <c r="N31" t="s">
        <v>77</v>
      </c>
      <c r="Q31" s="9">
        <f>Q28+Q30</f>
        <v>120.06</v>
      </c>
    </row>
    <row r="32" spans="1:18" ht="15">
      <c r="A32" s="28" t="s">
        <v>78</v>
      </c>
      <c r="B32" s="30">
        <f t="shared" si="12"/>
        <v>794541.26348142908</v>
      </c>
      <c r="C32" s="30">
        <f t="shared" si="23"/>
        <v>87399.538982957194</v>
      </c>
      <c r="D32" s="30">
        <f t="shared" si="24"/>
        <v>13109.930847443578</v>
      </c>
      <c r="E32" s="31">
        <f t="shared" si="25"/>
        <v>699.19631186365757</v>
      </c>
      <c r="F32" s="32">
        <f t="shared" si="26"/>
        <v>6016759.0626647389</v>
      </c>
      <c r="G32" s="31">
        <f t="shared" si="27"/>
        <v>5243.9723389774317</v>
      </c>
      <c r="H32" s="33">
        <f t="shared" si="28"/>
        <v>1573191.7016932296</v>
      </c>
      <c r="I32" s="31">
        <f t="shared" si="29"/>
        <v>22077.123547094983</v>
      </c>
      <c r="J32" s="31">
        <f t="shared" si="30"/>
        <v>414.27381477921705</v>
      </c>
      <c r="K32" s="31">
        <f t="shared" si="31"/>
        <v>4498279.4723748406</v>
      </c>
      <c r="L32" s="31">
        <f t="shared" si="32"/>
        <v>12088230.236732809</v>
      </c>
      <c r="Q32" t="s">
        <v>79</v>
      </c>
      <c r="R32" t="s">
        <v>80</v>
      </c>
    </row>
    <row r="33" spans="1:18" ht="15">
      <c r="A33" s="28" t="s">
        <v>81</v>
      </c>
      <c r="B33" s="30">
        <f t="shared" si="12"/>
        <v>913722.45300364331</v>
      </c>
      <c r="C33" s="30">
        <f t="shared" si="23"/>
        <v>100509.46983040076</v>
      </c>
      <c r="D33" s="30">
        <f t="shared" si="24"/>
        <v>15076.420474560113</v>
      </c>
      <c r="E33" s="31">
        <f t="shared" si="25"/>
        <v>804.07575864320609</v>
      </c>
      <c r="F33" s="32">
        <f t="shared" si="26"/>
        <v>6919272.9220644487</v>
      </c>
      <c r="G33" s="31">
        <f t="shared" si="27"/>
        <v>6030.5681898240455</v>
      </c>
      <c r="H33" s="33">
        <f t="shared" si="28"/>
        <v>1809170.4569472137</v>
      </c>
      <c r="I33" s="31">
        <f t="shared" si="29"/>
        <v>25388.692079159231</v>
      </c>
      <c r="J33" s="31">
        <f t="shared" si="30"/>
        <v>476.41488699609954</v>
      </c>
      <c r="K33" s="31">
        <f t="shared" si="31"/>
        <v>5173021.3932310659</v>
      </c>
      <c r="L33" s="31">
        <f t="shared" si="32"/>
        <v>13901464.772242729</v>
      </c>
      <c r="Q33" s="9">
        <f>12*Q31</f>
        <v>1440.72</v>
      </c>
    </row>
    <row r="34" spans="1:18" ht="15">
      <c r="A34" s="28" t="s">
        <v>82</v>
      </c>
      <c r="B34" s="30">
        <f t="shared" si="12"/>
        <v>1050780.8209541896</v>
      </c>
      <c r="C34" s="30">
        <f t="shared" si="23"/>
        <v>115585.89030496086</v>
      </c>
      <c r="D34" s="30">
        <f t="shared" si="24"/>
        <v>17337.883545744127</v>
      </c>
      <c r="E34" s="31">
        <f t="shared" si="25"/>
        <v>924.68712243968696</v>
      </c>
      <c r="F34" s="32">
        <f t="shared" si="26"/>
        <v>7957163.8603741154</v>
      </c>
      <c r="G34" s="31">
        <f t="shared" si="27"/>
        <v>6935.1534182976511</v>
      </c>
      <c r="H34" s="33">
        <f t="shared" si="28"/>
        <v>2080546.0254892954</v>
      </c>
      <c r="I34" s="31">
        <f t="shared" si="29"/>
        <v>29196.995891033112</v>
      </c>
      <c r="J34" s="31">
        <f t="shared" si="30"/>
        <v>547.8771200455144</v>
      </c>
      <c r="K34" s="31">
        <f t="shared" si="31"/>
        <v>5948974.6022157259</v>
      </c>
      <c r="L34" s="31">
        <f t="shared" si="32"/>
        <v>15986684.488079136</v>
      </c>
      <c r="N34" t="s">
        <v>83</v>
      </c>
      <c r="R34" s="9">
        <f>Q33/151</f>
        <v>9.5411920529801328</v>
      </c>
    </row>
    <row r="35" spans="1:18" ht="15">
      <c r="A35" s="28" t="s">
        <v>84</v>
      </c>
      <c r="B35" s="30">
        <f t="shared" si="12"/>
        <v>1208397.944097318</v>
      </c>
      <c r="C35" s="30">
        <f t="shared" si="23"/>
        <v>132923.77385070498</v>
      </c>
      <c r="D35" s="30">
        <f t="shared" si="24"/>
        <v>19938.566077605745</v>
      </c>
      <c r="E35" s="31">
        <f t="shared" si="25"/>
        <v>1063.3901908056398</v>
      </c>
      <c r="F35" s="32">
        <f t="shared" si="26"/>
        <v>9150738.4394302312</v>
      </c>
      <c r="G35" s="31">
        <f t="shared" si="27"/>
        <v>7975.4264310422986</v>
      </c>
      <c r="H35" s="33">
        <f t="shared" si="28"/>
        <v>2392627.9293126897</v>
      </c>
      <c r="I35" s="31">
        <f t="shared" si="29"/>
        <v>33576.545274688076</v>
      </c>
      <c r="J35" s="31">
        <f t="shared" si="30"/>
        <v>630.05868805234149</v>
      </c>
      <c r="K35" s="31">
        <f t="shared" si="31"/>
        <v>6841320.7925480837</v>
      </c>
      <c r="L35" s="31">
        <f t="shared" si="32"/>
        <v>18384687.161291003</v>
      </c>
      <c r="N35">
        <v>151</v>
      </c>
      <c r="R35" t="s">
        <v>85</v>
      </c>
    </row>
    <row r="36" spans="1:18" ht="15">
      <c r="A36" s="28" t="s">
        <v>86</v>
      </c>
      <c r="B36" s="30">
        <f t="shared" si="12"/>
        <v>1389657.6357119156</v>
      </c>
      <c r="C36" s="30">
        <f t="shared" si="23"/>
        <v>152862.33992831071</v>
      </c>
      <c r="D36" s="30">
        <f t="shared" si="24"/>
        <v>22929.350989246606</v>
      </c>
      <c r="E36" s="31">
        <f t="shared" si="25"/>
        <v>1222.8987194264857</v>
      </c>
      <c r="F36" s="32">
        <f t="shared" si="26"/>
        <v>10523349.205344766</v>
      </c>
      <c r="G36" s="31">
        <f t="shared" si="27"/>
        <v>9171.7403956986418</v>
      </c>
      <c r="H36" s="33">
        <f t="shared" si="28"/>
        <v>2751522.1187095926</v>
      </c>
      <c r="I36" s="31">
        <f t="shared" si="29"/>
        <v>38613.027065891285</v>
      </c>
      <c r="J36" s="31">
        <f t="shared" si="30"/>
        <v>724.5674912601927</v>
      </c>
      <c r="K36" s="31">
        <f t="shared" si="31"/>
        <v>7867518.9114302946</v>
      </c>
      <c r="L36" s="31">
        <f t="shared" si="32"/>
        <v>21142390.235484652</v>
      </c>
    </row>
    <row r="37" spans="1:18" ht="15">
      <c r="A37" s="28" t="s">
        <v>87</v>
      </c>
      <c r="B37" s="30">
        <f t="shared" si="12"/>
        <v>1598106.2810687027</v>
      </c>
      <c r="C37" s="30">
        <f t="shared" si="23"/>
        <v>175791.69091755731</v>
      </c>
      <c r="D37" s="30">
        <f t="shared" si="24"/>
        <v>26368.753637633596</v>
      </c>
      <c r="E37" s="31">
        <f t="shared" si="25"/>
        <v>1406.3335273404584</v>
      </c>
      <c r="F37" s="32">
        <f t="shared" si="26"/>
        <v>12101851.586146479</v>
      </c>
      <c r="G37" s="31">
        <f t="shared" si="27"/>
        <v>10547.501455053438</v>
      </c>
      <c r="H37" s="33">
        <f t="shared" si="28"/>
        <v>3164250.4365160312</v>
      </c>
      <c r="I37" s="31">
        <f t="shared" si="29"/>
        <v>44404.981125774968</v>
      </c>
      <c r="J37" s="31">
        <f t="shared" si="30"/>
        <v>833.25261494922165</v>
      </c>
      <c r="K37" s="31">
        <f t="shared" si="31"/>
        <v>9047646.7481448371</v>
      </c>
      <c r="L37" s="31">
        <f t="shared" si="32"/>
        <v>24313748.770807348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49A55-DABA-E84D-BBA4-B67CD5775134}">
  <dimension ref="A1:N19"/>
  <sheetViews>
    <sheetView workbookViewId="0">
      <selection activeCell="D2" sqref="D2"/>
    </sheetView>
  </sheetViews>
  <sheetFormatPr defaultColWidth="11.5703125" defaultRowHeight="14.45"/>
  <cols>
    <col min="1" max="1" width="24.7109375" customWidth="1"/>
    <col min="2" max="2" width="19" customWidth="1"/>
    <col min="4" max="4" width="32.85546875" customWidth="1"/>
    <col min="5" max="5" width="47.42578125" customWidth="1"/>
    <col min="6" max="6" width="11.7109375" customWidth="1"/>
    <col min="11" max="11" width="20.7109375" customWidth="1"/>
    <col min="12" max="12" width="22.5703125" customWidth="1"/>
    <col min="13" max="13" width="21.5703125" customWidth="1"/>
  </cols>
  <sheetData>
    <row r="1" spans="1:14" ht="15.75">
      <c r="A1" s="61" t="s">
        <v>88</v>
      </c>
      <c r="B1" s="61"/>
      <c r="C1" s="61"/>
      <c r="D1" s="17"/>
      <c r="E1" s="62" t="s">
        <v>89</v>
      </c>
      <c r="F1" s="62"/>
      <c r="G1" s="62"/>
      <c r="K1" s="38" t="s">
        <v>90</v>
      </c>
      <c r="L1" s="38" t="s">
        <v>91</v>
      </c>
    </row>
    <row r="2" spans="1:14" ht="58.5">
      <c r="A2" s="63" t="s">
        <v>92</v>
      </c>
      <c r="B2" s="63"/>
      <c r="C2" s="19">
        <v>1482000</v>
      </c>
      <c r="D2" s="18" t="s">
        <v>93</v>
      </c>
      <c r="E2" s="18" t="s">
        <v>94</v>
      </c>
      <c r="F2" s="18" t="s">
        <v>95</v>
      </c>
      <c r="G2" s="19">
        <v>400000</v>
      </c>
      <c r="K2" s="38" t="s">
        <v>96</v>
      </c>
      <c r="L2" s="38" t="s">
        <v>97</v>
      </c>
    </row>
    <row r="3" spans="1:14" ht="28.9" customHeight="1">
      <c r="A3" s="63" t="s">
        <v>98</v>
      </c>
      <c r="B3" s="63"/>
      <c r="C3" s="19">
        <v>200000</v>
      </c>
      <c r="D3" s="19"/>
      <c r="E3" s="63" t="s">
        <v>99</v>
      </c>
      <c r="F3" s="18" t="s">
        <v>100</v>
      </c>
      <c r="G3" s="19">
        <v>35000</v>
      </c>
      <c r="K3" s="39" t="s">
        <v>101</v>
      </c>
      <c r="L3" s="39" t="s">
        <v>102</v>
      </c>
      <c r="N3" s="19"/>
    </row>
    <row r="4" spans="1:14" ht="28.15" customHeight="1">
      <c r="A4" s="64" t="s">
        <v>103</v>
      </c>
      <c r="B4" s="19" t="s">
        <v>102</v>
      </c>
      <c r="C4" s="19">
        <v>80000</v>
      </c>
      <c r="D4" s="19"/>
      <c r="E4" s="63"/>
      <c r="F4" s="18" t="s">
        <v>104</v>
      </c>
      <c r="G4" s="19">
        <v>24000</v>
      </c>
      <c r="K4" s="40" t="s">
        <v>105</v>
      </c>
      <c r="L4" s="40" t="s">
        <v>106</v>
      </c>
    </row>
    <row r="5" spans="1:14" ht="44.25">
      <c r="A5" s="64"/>
      <c r="B5" s="19" t="s">
        <v>101</v>
      </c>
      <c r="C5" s="19">
        <v>2500</v>
      </c>
      <c r="D5" s="19"/>
      <c r="E5" s="60" t="s">
        <v>107</v>
      </c>
      <c r="F5" s="60"/>
      <c r="G5" s="19">
        <v>4000000</v>
      </c>
      <c r="H5" t="s">
        <v>108</v>
      </c>
      <c r="K5" s="40" t="s">
        <v>109</v>
      </c>
      <c r="L5" s="40" t="s">
        <v>110</v>
      </c>
    </row>
    <row r="6" spans="1:14" ht="31.15">
      <c r="A6" s="64"/>
      <c r="B6" s="18" t="s">
        <v>106</v>
      </c>
      <c r="C6" s="19">
        <v>50000</v>
      </c>
      <c r="D6" s="19"/>
      <c r="E6" s="19"/>
      <c r="F6" s="19"/>
      <c r="G6" s="19"/>
    </row>
    <row r="7" spans="1:14" ht="46.9">
      <c r="A7" s="64"/>
      <c r="B7" s="18" t="s">
        <v>105</v>
      </c>
      <c r="C7" s="19">
        <v>2500</v>
      </c>
      <c r="D7" s="19"/>
      <c r="E7" s="19"/>
      <c r="F7" s="19"/>
      <c r="G7" s="19"/>
    </row>
    <row r="8" spans="1:14" ht="15.6">
      <c r="A8" s="19"/>
      <c r="B8" s="19"/>
      <c r="C8" s="19">
        <f>SUM(C4:C7)</f>
        <v>135000</v>
      </c>
      <c r="D8" s="19"/>
      <c r="E8" s="19"/>
      <c r="F8" s="19"/>
      <c r="G8" s="19"/>
    </row>
    <row r="9" spans="1:14" ht="28.9" customHeight="1">
      <c r="A9" s="63" t="s">
        <v>111</v>
      </c>
      <c r="B9" s="18" t="s">
        <v>109</v>
      </c>
      <c r="C9" s="19">
        <v>10000</v>
      </c>
      <c r="D9" s="19"/>
      <c r="E9" s="19"/>
      <c r="F9" s="19"/>
      <c r="G9" s="19"/>
    </row>
    <row r="10" spans="1:14" ht="46.9">
      <c r="A10" s="63"/>
      <c r="B10" s="18" t="s">
        <v>110</v>
      </c>
      <c r="C10" s="19">
        <v>10000</v>
      </c>
      <c r="D10" s="19"/>
      <c r="E10" s="19"/>
      <c r="F10" s="19"/>
      <c r="G10" s="19"/>
    </row>
    <row r="11" spans="1:14" ht="15.6">
      <c r="A11" s="19"/>
      <c r="B11" s="19"/>
      <c r="C11" s="19">
        <f>SUM(C9:C10)</f>
        <v>20000</v>
      </c>
      <c r="D11" s="19"/>
      <c r="E11" s="19"/>
      <c r="F11" s="19"/>
      <c r="G11" s="19"/>
    </row>
    <row r="12" spans="1:14" ht="15.6">
      <c r="A12" s="60" t="s">
        <v>77</v>
      </c>
      <c r="B12" s="60"/>
      <c r="C12" s="20">
        <f>C2+C3+C8+C11</f>
        <v>1837000</v>
      </c>
      <c r="D12" s="19"/>
      <c r="E12" s="19" t="s">
        <v>77</v>
      </c>
      <c r="F12" s="19"/>
      <c r="G12" s="20">
        <f>SUM(G2:G5)</f>
        <v>4459000</v>
      </c>
    </row>
    <row r="15" spans="1:14">
      <c r="A15" s="7" t="s">
        <v>112</v>
      </c>
      <c r="B15" s="7">
        <f>G5+G4+G3</f>
        <v>4059000</v>
      </c>
    </row>
    <row r="19" spans="5:5">
      <c r="E19" t="s">
        <v>113</v>
      </c>
    </row>
  </sheetData>
  <mergeCells count="9">
    <mergeCell ref="A12:B12"/>
    <mergeCell ref="E5:F5"/>
    <mergeCell ref="A1:C1"/>
    <mergeCell ref="E1:G1"/>
    <mergeCell ref="A2:B2"/>
    <mergeCell ref="A3:B3"/>
    <mergeCell ref="A4:A7"/>
    <mergeCell ref="A9:A10"/>
    <mergeCell ref="E3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workbookViewId="0">
      <selection activeCell="D8" sqref="D8"/>
    </sheetView>
  </sheetViews>
  <sheetFormatPr defaultColWidth="8.7109375" defaultRowHeight="14.45"/>
  <cols>
    <col min="1" max="1" width="8.42578125" customWidth="1"/>
    <col min="2" max="2" width="23.7109375" customWidth="1"/>
    <col min="3" max="3" width="52.7109375" customWidth="1"/>
    <col min="4" max="4" width="85.85546875" customWidth="1"/>
  </cols>
  <sheetData>
    <row r="1" spans="1:4" ht="15.6">
      <c r="A1" s="34" t="s">
        <v>16</v>
      </c>
      <c r="B1" s="34" t="s">
        <v>114</v>
      </c>
      <c r="C1" s="34" t="s">
        <v>115</v>
      </c>
    </row>
    <row r="2" spans="1:4" ht="15.6">
      <c r="A2" s="35" t="s">
        <v>116</v>
      </c>
      <c r="B2" s="36">
        <v>4000000</v>
      </c>
      <c r="C2" s="34" t="s">
        <v>117</v>
      </c>
    </row>
    <row r="3" spans="1:4" ht="15.6">
      <c r="A3" s="35" t="s">
        <v>28</v>
      </c>
      <c r="B3" s="36">
        <v>0</v>
      </c>
      <c r="C3" s="34"/>
    </row>
    <row r="4" spans="1:4" ht="43.5" customHeight="1">
      <c r="A4" s="35" t="s">
        <v>31</v>
      </c>
      <c r="B4" s="36">
        <v>16000000</v>
      </c>
      <c r="C4" s="34" t="s">
        <v>118</v>
      </c>
      <c r="D4" s="41" t="s">
        <v>119</v>
      </c>
    </row>
    <row r="5" spans="1:4" ht="15.6">
      <c r="A5" s="35" t="s">
        <v>33</v>
      </c>
      <c r="B5" s="36">
        <v>0</v>
      </c>
      <c r="C5" s="34"/>
    </row>
    <row r="6" spans="1:4" ht="15.6">
      <c r="A6" s="35" t="s">
        <v>36</v>
      </c>
      <c r="B6" s="36">
        <v>0</v>
      </c>
      <c r="C6" s="34"/>
    </row>
    <row r="7" spans="1:4" ht="15.6">
      <c r="A7" s="35" t="s">
        <v>38</v>
      </c>
      <c r="B7" s="36">
        <v>2000000</v>
      </c>
      <c r="C7" s="34" t="s">
        <v>120</v>
      </c>
    </row>
    <row r="8" spans="1:4" ht="15.6">
      <c r="A8" s="35" t="s">
        <v>40</v>
      </c>
      <c r="B8" s="36">
        <v>0</v>
      </c>
      <c r="C8" s="34"/>
    </row>
    <row r="9" spans="1:4" ht="15.6">
      <c r="A9" s="35" t="s">
        <v>43</v>
      </c>
      <c r="B9" s="36">
        <v>0</v>
      </c>
      <c r="C9" s="34"/>
    </row>
    <row r="10" spans="1:4" ht="15.6">
      <c r="A10" s="35" t="s">
        <v>44</v>
      </c>
      <c r="B10" s="36">
        <v>0</v>
      </c>
      <c r="C10" s="34"/>
    </row>
    <row r="11" spans="1:4" ht="15.6">
      <c r="A11" s="35" t="s">
        <v>46</v>
      </c>
      <c r="B11" s="36">
        <v>0</v>
      </c>
      <c r="C11" s="34"/>
    </row>
    <row r="12" spans="1:4" ht="15.6">
      <c r="A12" s="35" t="s">
        <v>48</v>
      </c>
      <c r="B12" s="36">
        <v>0</v>
      </c>
      <c r="C12" s="34"/>
    </row>
    <row r="13" spans="1:4" ht="15.6">
      <c r="A13" s="35" t="s">
        <v>50</v>
      </c>
      <c r="B13" s="36">
        <v>0</v>
      </c>
      <c r="C13" s="3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3"/>
  <sheetViews>
    <sheetView tabSelected="1" zoomScale="73" workbookViewId="0">
      <pane ySplit="1" topLeftCell="A2" activePane="bottomLeft" state="frozen"/>
      <selection pane="bottomLeft" activeCell="A22" sqref="A22:XFD22"/>
    </sheetView>
  </sheetViews>
  <sheetFormatPr defaultColWidth="8.7109375" defaultRowHeight="15" customHeight="1"/>
  <cols>
    <col min="1" max="1" width="7.28515625" customWidth="1"/>
    <col min="2" max="2" width="15.7109375" customWidth="1"/>
    <col min="3" max="3" width="12.140625" customWidth="1"/>
    <col min="4" max="4" width="11.85546875" customWidth="1"/>
    <col min="5" max="5" width="12.28515625" customWidth="1"/>
    <col min="6" max="6" width="18.7109375" customWidth="1"/>
    <col min="7" max="7" width="19" customWidth="1"/>
    <col min="8" max="8" width="11.5703125" bestFit="1" customWidth="1"/>
    <col min="9" max="9" width="8.85546875" bestFit="1" customWidth="1"/>
    <col min="10" max="10" width="13.28515625" customWidth="1"/>
    <col min="11" max="11" width="18.42578125" bestFit="1" customWidth="1"/>
    <col min="12" max="12" width="15.7109375" customWidth="1"/>
    <col min="13" max="13" width="11.5703125" bestFit="1" customWidth="1"/>
    <col min="14" max="14" width="14.28515625" customWidth="1"/>
    <col min="15" max="15" width="14" customWidth="1"/>
  </cols>
  <sheetData>
    <row r="1" spans="1:18">
      <c r="A1" s="46" t="s">
        <v>16</v>
      </c>
      <c r="B1" s="46" t="s">
        <v>121</v>
      </c>
      <c r="C1" s="46" t="s">
        <v>88</v>
      </c>
      <c r="D1" s="46" t="s">
        <v>89</v>
      </c>
      <c r="E1" s="46" t="s">
        <v>122</v>
      </c>
      <c r="F1" s="46" t="s">
        <v>123</v>
      </c>
      <c r="G1" s="46" t="s">
        <v>124</v>
      </c>
      <c r="H1" s="46" t="s">
        <v>125</v>
      </c>
      <c r="I1" s="46" t="s">
        <v>126</v>
      </c>
      <c r="J1" s="46" t="s">
        <v>127</v>
      </c>
      <c r="K1" s="46" t="s">
        <v>128</v>
      </c>
      <c r="L1" s="46" t="s">
        <v>129</v>
      </c>
      <c r="M1" s="46" t="s">
        <v>130</v>
      </c>
      <c r="N1" s="46" t="s">
        <v>131</v>
      </c>
      <c r="O1" s="46" t="s">
        <v>132</v>
      </c>
      <c r="P1" t="s">
        <v>133</v>
      </c>
    </row>
    <row r="2" spans="1:18">
      <c r="A2" s="47">
        <v>1</v>
      </c>
      <c r="B2" s="47">
        <v>0</v>
      </c>
      <c r="C2" s="48">
        <f>'орех сарех'!$C$12-150000-140000-100000-100000-80000-100000-120000-100000-20000</f>
        <v>927000</v>
      </c>
      <c r="D2" s="48">
        <f>'орех сарех'!G12-2459000</f>
        <v>2000000</v>
      </c>
      <c r="E2" s="48">
        <f>Финансирование!B2</f>
        <v>4000000</v>
      </c>
      <c r="F2" s="48">
        <f>C2+H2+I2</f>
        <v>1026000</v>
      </c>
      <c r="G2" s="48">
        <f>D2+D5+SUM(F2:F21)</f>
        <v>45332470.550260514</v>
      </c>
      <c r="H2" s="46">
        <v>0</v>
      </c>
      <c r="I2" s="46">
        <v>99000</v>
      </c>
      <c r="J2" s="49">
        <f>B2-H2-I2-C2</f>
        <v>-1026000</v>
      </c>
      <c r="K2" s="50">
        <f>B2-C2-D2</f>
        <v>-2927000</v>
      </c>
      <c r="L2" s="50">
        <f>B2+E2</f>
        <v>4000000</v>
      </c>
      <c r="M2" s="49">
        <f>C2+D2+H2+I2</f>
        <v>3026000</v>
      </c>
      <c r="N2" s="49">
        <f>L2-M2</f>
        <v>974000</v>
      </c>
      <c r="O2" s="49">
        <f>M2-N2</f>
        <v>2052000</v>
      </c>
    </row>
    <row r="3" spans="1:18" ht="15.75">
      <c r="A3" s="47">
        <v>2</v>
      </c>
      <c r="B3" s="48">
        <f>Доходы!L2</f>
        <v>158479.20000000001</v>
      </c>
      <c r="C3" s="48">
        <f>'орех сарех'!$C$12</f>
        <v>1837000</v>
      </c>
      <c r="D3" s="48">
        <v>0</v>
      </c>
      <c r="E3" s="48">
        <f>Финансирование!B3</f>
        <v>0</v>
      </c>
      <c r="F3" s="48">
        <f t="shared" ref="F3:F38" si="0">C3+H3+I3</f>
        <v>1975619.8</v>
      </c>
      <c r="G3" s="51"/>
      <c r="H3" s="49">
        <f>B3*0.25</f>
        <v>39619.800000000003</v>
      </c>
      <c r="I3" s="46">
        <v>99000</v>
      </c>
      <c r="J3" s="49">
        <f>B3-H3-I2-C2</f>
        <v>-907140.6</v>
      </c>
      <c r="K3" s="50">
        <f t="shared" ref="K3:K38" si="1">B3-C3-D3</f>
        <v>-1678520.8</v>
      </c>
      <c r="L3" s="50">
        <f t="shared" ref="L3:L38" si="2">B3+E3</f>
        <v>158479.20000000001</v>
      </c>
      <c r="M3" s="49">
        <f t="shared" ref="M3:M37" si="3">C3+D3+H3+I3</f>
        <v>1975619.8</v>
      </c>
      <c r="N3" s="49">
        <f t="shared" ref="N3:N37" si="4">L3-M3</f>
        <v>-1817140.6</v>
      </c>
      <c r="O3" s="49">
        <f>M3-N3</f>
        <v>3792760.4000000004</v>
      </c>
      <c r="R3" s="11" t="s">
        <v>134</v>
      </c>
    </row>
    <row r="4" spans="1:18">
      <c r="A4" s="47">
        <v>3</v>
      </c>
      <c r="B4" s="48">
        <f>Доходы!L3</f>
        <v>182251.07999999996</v>
      </c>
      <c r="C4" s="48">
        <f>'орех сарех'!$C$12</f>
        <v>1837000</v>
      </c>
      <c r="D4" s="48">
        <v>0</v>
      </c>
      <c r="E4" s="48">
        <f>Финансирование!B4</f>
        <v>16000000</v>
      </c>
      <c r="F4" s="48">
        <f t="shared" si="0"/>
        <v>1981562.77</v>
      </c>
      <c r="G4" s="48"/>
      <c r="H4" s="49">
        <f>B4*0.25</f>
        <v>45562.76999999999</v>
      </c>
      <c r="I4" s="46">
        <v>99000</v>
      </c>
      <c r="J4" s="49">
        <f>B4-H4-I3-C3</f>
        <v>-1799311.69</v>
      </c>
      <c r="K4" s="50">
        <f>B4-C4-D4</f>
        <v>-1654748.92</v>
      </c>
      <c r="L4" s="50">
        <f t="shared" si="2"/>
        <v>16182251.08</v>
      </c>
      <c r="M4" s="49">
        <f t="shared" si="3"/>
        <v>1981562.77</v>
      </c>
      <c r="N4" s="49">
        <f t="shared" si="4"/>
        <v>14200688.310000001</v>
      </c>
      <c r="O4" s="49">
        <f t="shared" ref="O3:O37" si="5">M4-N4</f>
        <v>-12219125.540000001</v>
      </c>
    </row>
    <row r="5" spans="1:18">
      <c r="A5" s="47">
        <v>4</v>
      </c>
      <c r="B5" s="48">
        <f>Доходы!L4</f>
        <v>209588.74199999997</v>
      </c>
      <c r="C5" s="48">
        <f>'орех сарех'!$C$12-150000-140000-100000-100000-80000-100000-120000-100000-20000</f>
        <v>927000</v>
      </c>
      <c r="D5" s="48">
        <v>2459000</v>
      </c>
      <c r="E5" s="48">
        <f>Финансирование!B5</f>
        <v>0</v>
      </c>
      <c r="F5" s="48">
        <f t="shared" si="0"/>
        <v>1078397.1855000001</v>
      </c>
      <c r="G5" s="48"/>
      <c r="H5" s="49">
        <f>B5*0.25</f>
        <v>52397.185499999992</v>
      </c>
      <c r="I5" s="46">
        <v>99000</v>
      </c>
      <c r="J5" s="49">
        <f>B5-H5-I4-C4</f>
        <v>-1778808.4435000001</v>
      </c>
      <c r="K5" s="50">
        <f t="shared" si="1"/>
        <v>-3176411.2579999999</v>
      </c>
      <c r="L5" s="50">
        <f t="shared" si="2"/>
        <v>209588.74199999997</v>
      </c>
      <c r="M5" s="49">
        <f t="shared" si="3"/>
        <v>3537397.1855000001</v>
      </c>
      <c r="N5" s="49">
        <f t="shared" si="4"/>
        <v>-3327808.4435000001</v>
      </c>
      <c r="O5" s="49">
        <f t="shared" si="5"/>
        <v>6865205.6290000007</v>
      </c>
      <c r="R5" t="s">
        <v>135</v>
      </c>
    </row>
    <row r="6" spans="1:18">
      <c r="A6" s="47">
        <v>5</v>
      </c>
      <c r="B6" s="48">
        <f>Доходы!L5</f>
        <v>241027.05329999991</v>
      </c>
      <c r="C6" s="48">
        <f>'орех сарех'!$C$12</f>
        <v>1837000</v>
      </c>
      <c r="D6" s="48">
        <v>0</v>
      </c>
      <c r="E6" s="48">
        <f>Финансирование!B6</f>
        <v>0</v>
      </c>
      <c r="F6" s="48">
        <f t="shared" si="0"/>
        <v>1996256.7633249999</v>
      </c>
      <c r="G6" s="48"/>
      <c r="H6" s="49">
        <f>B6*0.25</f>
        <v>60256.763324999978</v>
      </c>
      <c r="I6" s="46">
        <v>99000</v>
      </c>
      <c r="J6" s="49">
        <f>B6-H6-I5-C5</f>
        <v>-845229.71002500004</v>
      </c>
      <c r="K6" s="50">
        <f t="shared" si="1"/>
        <v>-1595972.9467000002</v>
      </c>
      <c r="L6" s="50">
        <f t="shared" si="2"/>
        <v>241027.05329999991</v>
      </c>
      <c r="M6" s="49">
        <f>C6+D6+H6+I6</f>
        <v>1996256.7633249999</v>
      </c>
      <c r="N6" s="49">
        <f t="shared" si="4"/>
        <v>-1755229.7100249999</v>
      </c>
      <c r="O6" s="49">
        <f t="shared" si="5"/>
        <v>3751486.4733499996</v>
      </c>
      <c r="R6" s="12">
        <v>0.17499999999999999</v>
      </c>
    </row>
    <row r="7" spans="1:18">
      <c r="A7" s="47">
        <v>6</v>
      </c>
      <c r="B7" s="48">
        <f>Доходы!L6</f>
        <v>277181.11129499984</v>
      </c>
      <c r="C7" s="48">
        <f>'орех сарех'!$C$12</f>
        <v>1837000</v>
      </c>
      <c r="D7" s="48">
        <v>0</v>
      </c>
      <c r="E7" s="48">
        <f>Финансирование!B7</f>
        <v>2000000</v>
      </c>
      <c r="F7" s="48">
        <f t="shared" si="0"/>
        <v>2005295.2778237499</v>
      </c>
      <c r="G7" s="48"/>
      <c r="H7" s="49">
        <f>B7*0.25</f>
        <v>69295.277823749959</v>
      </c>
      <c r="I7" s="46">
        <v>99000</v>
      </c>
      <c r="J7" s="49">
        <f>B7-H7-I6-C6</f>
        <v>-1728114.1665287502</v>
      </c>
      <c r="K7" s="50">
        <f t="shared" si="1"/>
        <v>-1559818.8887050003</v>
      </c>
      <c r="L7" s="50">
        <f t="shared" si="2"/>
        <v>2277181.1112949997</v>
      </c>
      <c r="M7" s="49">
        <f t="shared" si="3"/>
        <v>2005295.2778237499</v>
      </c>
      <c r="N7" s="49">
        <f t="shared" si="4"/>
        <v>271885.83347124979</v>
      </c>
      <c r="O7" s="49">
        <f t="shared" si="5"/>
        <v>1733409.4443525001</v>
      </c>
    </row>
    <row r="8" spans="1:18">
      <c r="A8" s="47">
        <v>7</v>
      </c>
      <c r="B8" s="48">
        <f>Доходы!L7</f>
        <v>318758.27798924979</v>
      </c>
      <c r="C8" s="48">
        <f>'орех сарех'!$C$12</f>
        <v>1837000</v>
      </c>
      <c r="D8" s="48">
        <v>0</v>
      </c>
      <c r="E8" s="48">
        <f>Финансирование!B8</f>
        <v>0</v>
      </c>
      <c r="F8" s="48">
        <f t="shared" si="0"/>
        <v>2015689.5694973124</v>
      </c>
      <c r="G8" s="48"/>
      <c r="H8" s="49">
        <f>B8*0.25</f>
        <v>79689.569497312448</v>
      </c>
      <c r="I8" s="46">
        <v>99000</v>
      </c>
      <c r="J8" s="49">
        <f>B8-H8-I7-C7</f>
        <v>-1696931.2915080627</v>
      </c>
      <c r="K8" s="50">
        <f t="shared" si="1"/>
        <v>-1518241.7220107503</v>
      </c>
      <c r="L8" s="50">
        <f t="shared" si="2"/>
        <v>318758.27798924979</v>
      </c>
      <c r="M8" s="49">
        <f t="shared" si="3"/>
        <v>2015689.5694973124</v>
      </c>
      <c r="N8" s="49">
        <f t="shared" si="4"/>
        <v>-1696931.2915080627</v>
      </c>
      <c r="O8" s="49">
        <f t="shared" si="5"/>
        <v>3712620.8610053752</v>
      </c>
    </row>
    <row r="9" spans="1:18">
      <c r="A9" s="47">
        <v>8</v>
      </c>
      <c r="B9" s="48">
        <f>Доходы!L8</f>
        <v>422293.6535315435</v>
      </c>
      <c r="C9" s="48">
        <f>'орех сарех'!$C$12</f>
        <v>1837000</v>
      </c>
      <c r="D9" s="48">
        <v>0</v>
      </c>
      <c r="E9" s="48">
        <f>Финансирование!B9</f>
        <v>0</v>
      </c>
      <c r="F9" s="48">
        <f t="shared" si="0"/>
        <v>2041573.413382886</v>
      </c>
      <c r="G9" s="48"/>
      <c r="H9" s="49">
        <f>B9*0.25</f>
        <v>105573.41338288588</v>
      </c>
      <c r="I9" s="46">
        <v>99000</v>
      </c>
      <c r="J9" s="49">
        <f>B9-H9-I8-C8</f>
        <v>-1619279.7598513423</v>
      </c>
      <c r="K9" s="50">
        <f t="shared" si="1"/>
        <v>-1414706.3464684566</v>
      </c>
      <c r="L9" s="50">
        <f t="shared" si="2"/>
        <v>422293.6535315435</v>
      </c>
      <c r="M9" s="49">
        <f t="shared" si="3"/>
        <v>2041573.413382886</v>
      </c>
      <c r="N9" s="49">
        <f t="shared" si="4"/>
        <v>-1619279.7598513425</v>
      </c>
      <c r="O9" s="49">
        <f t="shared" si="5"/>
        <v>3660853.1732342285</v>
      </c>
    </row>
    <row r="10" spans="1:18">
      <c r="A10" s="47">
        <v>9</v>
      </c>
      <c r="B10" s="48">
        <f>Доходы!L9</f>
        <v>485637.701561275</v>
      </c>
      <c r="C10" s="48">
        <f>'орех сарех'!$C$12</f>
        <v>1837000</v>
      </c>
      <c r="D10" s="48">
        <v>0</v>
      </c>
      <c r="E10" s="48">
        <f>Финансирование!B10</f>
        <v>0</v>
      </c>
      <c r="F10" s="48">
        <f t="shared" si="0"/>
        <v>2057409.4253903187</v>
      </c>
      <c r="G10" s="48"/>
      <c r="H10" s="49">
        <f>B10*0.25</f>
        <v>121409.42539031875</v>
      </c>
      <c r="I10" s="46">
        <v>99000</v>
      </c>
      <c r="J10" s="49">
        <f>B10-H10-I9-C9</f>
        <v>-1571771.7238290438</v>
      </c>
      <c r="K10" s="50">
        <f t="shared" si="1"/>
        <v>-1351362.2984387251</v>
      </c>
      <c r="L10" s="50">
        <f t="shared" si="2"/>
        <v>485637.701561275</v>
      </c>
      <c r="M10" s="49">
        <f t="shared" si="3"/>
        <v>2057409.4253903187</v>
      </c>
      <c r="N10" s="49">
        <f t="shared" si="4"/>
        <v>-1571771.7238290438</v>
      </c>
      <c r="O10" s="49">
        <f t="shared" si="5"/>
        <v>3629181.1492193625</v>
      </c>
    </row>
    <row r="11" spans="1:18">
      <c r="A11" s="47">
        <v>10</v>
      </c>
      <c r="B11" s="48">
        <f>Доходы!L10</f>
        <v>558483.35679546627</v>
      </c>
      <c r="C11" s="48">
        <f>'орех сарех'!$C$12</f>
        <v>1837000</v>
      </c>
      <c r="D11" s="48">
        <v>0</v>
      </c>
      <c r="E11" s="48">
        <f>Финансирование!B11</f>
        <v>0</v>
      </c>
      <c r="F11" s="48">
        <f t="shared" si="0"/>
        <v>2075620.8391988666</v>
      </c>
      <c r="G11" s="48"/>
      <c r="H11" s="49">
        <f>B11*0.25</f>
        <v>139620.83919886657</v>
      </c>
      <c r="I11" s="46">
        <v>99000</v>
      </c>
      <c r="J11" s="49">
        <f>B11-H11-I10-C10</f>
        <v>-1517137.4824034004</v>
      </c>
      <c r="K11" s="50">
        <f t="shared" si="1"/>
        <v>-1278516.6432045337</v>
      </c>
      <c r="L11" s="50">
        <f t="shared" si="2"/>
        <v>558483.35679546627</v>
      </c>
      <c r="M11" s="49">
        <f t="shared" si="3"/>
        <v>2075620.8391988666</v>
      </c>
      <c r="N11" s="49">
        <f t="shared" si="4"/>
        <v>-1517137.4824034004</v>
      </c>
      <c r="O11" s="49">
        <f t="shared" si="5"/>
        <v>3592758.3216022672</v>
      </c>
    </row>
    <row r="12" spans="1:18">
      <c r="A12" s="47">
        <v>11</v>
      </c>
      <c r="B12" s="48">
        <f>Доходы!L11</f>
        <v>642255.8603147862</v>
      </c>
      <c r="C12" s="48">
        <f>'орех сарех'!$C$12</f>
        <v>1837000</v>
      </c>
      <c r="D12" s="48">
        <v>0</v>
      </c>
      <c r="E12" s="48">
        <f>Финансирование!B12</f>
        <v>0</v>
      </c>
      <c r="F12" s="48">
        <f t="shared" si="0"/>
        <v>2096563.9650786966</v>
      </c>
      <c r="G12" s="48"/>
      <c r="H12" s="49">
        <f>B12*0.25</f>
        <v>160563.96507869655</v>
      </c>
      <c r="I12" s="46">
        <v>99000</v>
      </c>
      <c r="J12" s="49">
        <f>B12-H12-I11-C11</f>
        <v>-1454308.1047639104</v>
      </c>
      <c r="K12" s="50">
        <f t="shared" si="1"/>
        <v>-1194744.1396852138</v>
      </c>
      <c r="L12" s="50">
        <f t="shared" si="2"/>
        <v>642255.8603147862</v>
      </c>
      <c r="M12" s="49">
        <f t="shared" si="3"/>
        <v>2096563.9650786966</v>
      </c>
      <c r="N12" s="49">
        <f t="shared" si="4"/>
        <v>-1454308.1047639104</v>
      </c>
      <c r="O12" s="49">
        <f t="shared" si="5"/>
        <v>3550872.0698426068</v>
      </c>
    </row>
    <row r="13" spans="1:18">
      <c r="A13" s="47">
        <v>12</v>
      </c>
      <c r="B13" s="48">
        <f>Доходы!L12</f>
        <v>738594.23936200398</v>
      </c>
      <c r="C13" s="48">
        <f>'орех сарех'!$C$12</f>
        <v>1837000</v>
      </c>
      <c r="D13" s="48">
        <v>0</v>
      </c>
      <c r="E13" s="48">
        <f>Финансирование!B13</f>
        <v>0</v>
      </c>
      <c r="F13" s="48">
        <f t="shared" si="0"/>
        <v>2120648.5598405013</v>
      </c>
      <c r="G13" s="48"/>
      <c r="H13" s="49">
        <f>B13*0.25</f>
        <v>184648.559840501</v>
      </c>
      <c r="I13" s="46">
        <v>99000</v>
      </c>
      <c r="J13" s="49">
        <f>B13-H13-I12-C12</f>
        <v>-1382054.3204784971</v>
      </c>
      <c r="K13" s="50">
        <f t="shared" si="1"/>
        <v>-1098405.760637996</v>
      </c>
      <c r="L13" s="50">
        <f t="shared" si="2"/>
        <v>738594.23936200398</v>
      </c>
      <c r="M13" s="49">
        <f t="shared" si="3"/>
        <v>2120648.5598405013</v>
      </c>
      <c r="N13" s="49">
        <f t="shared" si="4"/>
        <v>-1382054.3204784973</v>
      </c>
      <c r="O13" s="49">
        <f t="shared" si="5"/>
        <v>3502702.8803189984</v>
      </c>
    </row>
    <row r="14" spans="1:18">
      <c r="A14" s="47">
        <v>13</v>
      </c>
      <c r="B14" s="48">
        <f>Доходы!L13</f>
        <v>849383.37526630447</v>
      </c>
      <c r="C14" s="48">
        <f>'орех сарех'!$C$12</f>
        <v>1837000</v>
      </c>
      <c r="D14" s="48">
        <v>0</v>
      </c>
      <c r="E14" s="48">
        <f>Финансирование!B14</f>
        <v>0</v>
      </c>
      <c r="F14" s="48">
        <f t="shared" si="0"/>
        <v>2148345.8438165761</v>
      </c>
      <c r="G14" s="48"/>
      <c r="H14" s="49">
        <f>B14*0.25</f>
        <v>212345.84381657612</v>
      </c>
      <c r="I14" s="46">
        <v>99000</v>
      </c>
      <c r="J14" s="49">
        <f>B14-H14-I13-C13</f>
        <v>-1298962.4685502716</v>
      </c>
      <c r="K14" s="50">
        <f t="shared" si="1"/>
        <v>-987616.62473369553</v>
      </c>
      <c r="L14" s="50">
        <f t="shared" si="2"/>
        <v>849383.37526630447</v>
      </c>
      <c r="M14" s="49">
        <f t="shared" si="3"/>
        <v>2148345.8438165761</v>
      </c>
      <c r="N14" s="49">
        <f t="shared" si="4"/>
        <v>-1298962.4685502716</v>
      </c>
      <c r="O14" s="49">
        <f t="shared" si="5"/>
        <v>3447308.3123668479</v>
      </c>
    </row>
    <row r="15" spans="1:18">
      <c r="A15" s="47">
        <v>14</v>
      </c>
      <c r="B15" s="48">
        <f>Доходы!L14</f>
        <v>976790.88155624992</v>
      </c>
      <c r="C15" s="48">
        <f>'орех сарех'!$C$12</f>
        <v>1837000</v>
      </c>
      <c r="D15" s="48">
        <v>0</v>
      </c>
      <c r="E15" s="48">
        <f>Финансирование!B15</f>
        <v>0</v>
      </c>
      <c r="F15" s="48">
        <f t="shared" si="0"/>
        <v>2180197.7203890625</v>
      </c>
      <c r="G15" s="48"/>
      <c r="H15" s="49">
        <f>B15*0.25</f>
        <v>244197.72038906248</v>
      </c>
      <c r="I15" s="46">
        <v>99000</v>
      </c>
      <c r="J15" s="49">
        <f>B15-H15-I14-C14</f>
        <v>-1203406.8388328126</v>
      </c>
      <c r="K15" s="50">
        <f t="shared" si="1"/>
        <v>-860209.11844375008</v>
      </c>
      <c r="L15" s="50">
        <f t="shared" si="2"/>
        <v>976790.88155624992</v>
      </c>
      <c r="M15" s="49">
        <f t="shared" si="3"/>
        <v>2180197.7203890625</v>
      </c>
      <c r="N15" s="49">
        <f t="shared" si="4"/>
        <v>-1203406.8388328126</v>
      </c>
      <c r="O15" s="49">
        <f t="shared" si="5"/>
        <v>3383604.5592218749</v>
      </c>
    </row>
    <row r="16" spans="1:18">
      <c r="A16" s="47">
        <v>15</v>
      </c>
      <c r="B16" s="48">
        <f>Доходы!L15</f>
        <v>1123309.5137896873</v>
      </c>
      <c r="C16" s="48">
        <f>'орех сарех'!$C$12</f>
        <v>1837000</v>
      </c>
      <c r="D16" s="48">
        <v>0</v>
      </c>
      <c r="E16" s="48">
        <v>15000000</v>
      </c>
      <c r="F16" s="48">
        <f t="shared" si="0"/>
        <v>2216827.3784474218</v>
      </c>
      <c r="G16" s="48"/>
      <c r="H16" s="49">
        <f>B16*0.25</f>
        <v>280827.37844742183</v>
      </c>
      <c r="I16" s="46">
        <v>99000</v>
      </c>
      <c r="J16" s="49">
        <f>B16-H16-I15-C15</f>
        <v>-1093517.8646577345</v>
      </c>
      <c r="K16" s="50">
        <f t="shared" si="1"/>
        <v>-713690.48621031269</v>
      </c>
      <c r="L16" s="50">
        <f t="shared" si="2"/>
        <v>16123309.513789687</v>
      </c>
      <c r="M16" s="49">
        <f t="shared" si="3"/>
        <v>2216827.3784474218</v>
      </c>
      <c r="N16" s="49">
        <f t="shared" si="4"/>
        <v>13906482.135342266</v>
      </c>
      <c r="O16" s="49">
        <f t="shared" si="5"/>
        <v>-11689654.756894846</v>
      </c>
    </row>
    <row r="17" spans="1:16">
      <c r="A17" s="47">
        <v>16</v>
      </c>
      <c r="B17" s="48">
        <f>Доходы!L16</f>
        <v>1291805.9408581404</v>
      </c>
      <c r="C17" s="48">
        <f>'орех сарех'!$C$12</f>
        <v>1837000</v>
      </c>
      <c r="D17" s="48">
        <v>0</v>
      </c>
      <c r="E17" s="48">
        <f>Финансирование!B17</f>
        <v>0</v>
      </c>
      <c r="F17" s="48">
        <f t="shared" si="0"/>
        <v>2258951.4852145351</v>
      </c>
      <c r="G17" s="48"/>
      <c r="H17" s="49">
        <f>B17*0.25</f>
        <v>322951.48521453509</v>
      </c>
      <c r="I17" s="46">
        <v>99000</v>
      </c>
      <c r="J17" s="49">
        <f>B17-H17-I16-C16</f>
        <v>-967145.54435639479</v>
      </c>
      <c r="K17" s="50">
        <f t="shared" si="1"/>
        <v>-545194.05914185965</v>
      </c>
      <c r="L17" s="50">
        <f t="shared" si="2"/>
        <v>1291805.9408581404</v>
      </c>
      <c r="M17" s="49">
        <f t="shared" si="3"/>
        <v>2258951.4852145351</v>
      </c>
      <c r="N17" s="49">
        <f t="shared" si="4"/>
        <v>-967145.54435639479</v>
      </c>
      <c r="O17" s="49">
        <f t="shared" si="5"/>
        <v>3226097.0295709297</v>
      </c>
    </row>
    <row r="18" spans="1:16">
      <c r="A18" s="47">
        <v>17</v>
      </c>
      <c r="B18" s="48">
        <f>Доходы!L17</f>
        <v>1485576.8319868615</v>
      </c>
      <c r="C18" s="48">
        <f>'орех сарех'!$C$12</f>
        <v>1837000</v>
      </c>
      <c r="D18" s="48">
        <v>0</v>
      </c>
      <c r="E18" s="48">
        <f>Финансирование!B18</f>
        <v>0</v>
      </c>
      <c r="F18" s="48">
        <f t="shared" si="0"/>
        <v>2307394.2079967153</v>
      </c>
      <c r="G18" s="48"/>
      <c r="H18" s="49">
        <f>B18*0.25</f>
        <v>371394.20799671538</v>
      </c>
      <c r="I18" s="46">
        <v>99000</v>
      </c>
      <c r="J18" s="49">
        <f>B18-H18-I17-C17</f>
        <v>-821817.37600985379</v>
      </c>
      <c r="K18" s="50">
        <f t="shared" si="1"/>
        <v>-351423.16801313846</v>
      </c>
      <c r="L18" s="50">
        <f t="shared" si="2"/>
        <v>1485576.8319868615</v>
      </c>
      <c r="M18" s="49">
        <f t="shared" si="3"/>
        <v>2307394.2079967153</v>
      </c>
      <c r="N18" s="49">
        <f t="shared" si="4"/>
        <v>-821817.37600985379</v>
      </c>
      <c r="O18" s="49">
        <f t="shared" si="5"/>
        <v>3129211.5840065693</v>
      </c>
    </row>
    <row r="19" spans="1:16">
      <c r="A19" s="47">
        <v>18</v>
      </c>
      <c r="B19" s="48">
        <f>Доходы!L18</f>
        <v>1708413.3567848904</v>
      </c>
      <c r="C19" s="48">
        <f>'орех сарех'!$C$12</f>
        <v>1837000</v>
      </c>
      <c r="D19" s="48">
        <v>0</v>
      </c>
      <c r="E19" s="48">
        <f>Финансирование!B19</f>
        <v>0</v>
      </c>
      <c r="F19" s="48">
        <f t="shared" si="0"/>
        <v>2363103.3391962228</v>
      </c>
      <c r="G19" s="48"/>
      <c r="H19" s="49">
        <f>B19*0.25</f>
        <v>427103.3391962226</v>
      </c>
      <c r="I19" s="46">
        <v>99000</v>
      </c>
      <c r="J19" s="49">
        <f>B19-H19-I18-C18</f>
        <v>-654689.9824113322</v>
      </c>
      <c r="K19" s="50">
        <f t="shared" si="1"/>
        <v>-128586.64321510959</v>
      </c>
      <c r="L19" s="50">
        <f t="shared" si="2"/>
        <v>1708413.3567848904</v>
      </c>
      <c r="M19" s="49">
        <f t="shared" si="3"/>
        <v>2363103.3391962228</v>
      </c>
      <c r="N19" s="49">
        <f t="shared" si="4"/>
        <v>-654689.98241133243</v>
      </c>
      <c r="O19" s="49">
        <f t="shared" si="5"/>
        <v>3017793.3216075553</v>
      </c>
    </row>
    <row r="20" spans="1:16">
      <c r="A20" s="47">
        <v>19</v>
      </c>
      <c r="B20" s="48">
        <f>Доходы!L19</f>
        <v>1964675.3603026238</v>
      </c>
      <c r="C20" s="48">
        <f>'орех сарех'!$C$12</f>
        <v>1837000</v>
      </c>
      <c r="D20" s="48">
        <v>0</v>
      </c>
      <c r="E20" s="48">
        <f>Финансирование!B20</f>
        <v>0</v>
      </c>
      <c r="F20" s="48">
        <f t="shared" si="0"/>
        <v>2427168.8400756558</v>
      </c>
      <c r="G20" s="48"/>
      <c r="H20" s="49">
        <f>B20*0.25</f>
        <v>491168.84007565596</v>
      </c>
      <c r="I20" s="46">
        <v>99000</v>
      </c>
      <c r="J20" s="49">
        <f>B20-H20-I19-C19</f>
        <v>-462493.47977303201</v>
      </c>
      <c r="K20" s="50">
        <f t="shared" si="1"/>
        <v>127675.36030262383</v>
      </c>
      <c r="L20" s="50">
        <f t="shared" si="2"/>
        <v>1964675.3603026238</v>
      </c>
      <c r="M20" s="49">
        <f t="shared" si="3"/>
        <v>2427168.8400756558</v>
      </c>
      <c r="N20" s="49">
        <f t="shared" si="4"/>
        <v>-462493.47977303201</v>
      </c>
      <c r="O20" s="49">
        <f t="shared" si="5"/>
        <v>2889662.3198486879</v>
      </c>
    </row>
    <row r="21" spans="1:16">
      <c r="A21" s="47">
        <v>20</v>
      </c>
      <c r="B21" s="48">
        <f>Доходы!L20</f>
        <v>2259376.664348017</v>
      </c>
      <c r="C21" s="48">
        <f>'орех сарех'!$C$12</f>
        <v>1837000</v>
      </c>
      <c r="D21" s="48">
        <v>0</v>
      </c>
      <c r="E21" s="48">
        <f>Финансирование!B21</f>
        <v>0</v>
      </c>
      <c r="F21" s="48">
        <f t="shared" si="0"/>
        <v>2500844.1660870044</v>
      </c>
      <c r="G21" s="48"/>
      <c r="H21" s="49">
        <f>B21*0.25</f>
        <v>564844.16608700424</v>
      </c>
      <c r="I21" s="46">
        <v>99000</v>
      </c>
      <c r="J21" s="49">
        <f>B21-H21-I20-C20</f>
        <v>-241467.5017389874</v>
      </c>
      <c r="K21" s="50">
        <f t="shared" si="1"/>
        <v>422376.66434801696</v>
      </c>
      <c r="L21" s="50">
        <f t="shared" si="2"/>
        <v>2259376.664348017</v>
      </c>
      <c r="M21" s="49">
        <f t="shared" si="3"/>
        <v>2500844.1660870044</v>
      </c>
      <c r="N21" s="49">
        <f t="shared" si="4"/>
        <v>-241467.5017389874</v>
      </c>
      <c r="O21" s="49">
        <f t="shared" si="5"/>
        <v>2742311.6678259918</v>
      </c>
    </row>
    <row r="22" spans="1:16">
      <c r="A22" s="47">
        <v>21</v>
      </c>
      <c r="B22" s="48">
        <f>Доходы!L21</f>
        <v>2598283.1640002197</v>
      </c>
      <c r="C22" s="48">
        <f>'орех сарех'!$C$12</f>
        <v>1837000</v>
      </c>
      <c r="D22" s="48">
        <v>0</v>
      </c>
      <c r="E22" s="48">
        <f>Финансирование!B22</f>
        <v>0</v>
      </c>
      <c r="F22" s="48">
        <f t="shared" si="0"/>
        <v>2585570.7910000551</v>
      </c>
      <c r="G22" s="48"/>
      <c r="H22" s="49">
        <f>B22*0.25</f>
        <v>649570.79100005492</v>
      </c>
      <c r="I22" s="46">
        <v>99000</v>
      </c>
      <c r="J22" s="49">
        <f>B22-H22-I21-C21</f>
        <v>12712.373000164749</v>
      </c>
      <c r="K22" s="50">
        <f t="shared" si="1"/>
        <v>761283.16400021967</v>
      </c>
      <c r="L22" s="50">
        <f t="shared" si="2"/>
        <v>2598283.1640002197</v>
      </c>
      <c r="M22" s="49">
        <f t="shared" si="3"/>
        <v>2585570.7910000551</v>
      </c>
      <c r="N22" s="49">
        <f t="shared" si="4"/>
        <v>12712.373000164516</v>
      </c>
      <c r="O22" s="49">
        <f t="shared" si="5"/>
        <v>2572858.4179998906</v>
      </c>
    </row>
    <row r="23" spans="1:16">
      <c r="A23" s="47">
        <v>22</v>
      </c>
      <c r="B23" s="48">
        <f>Доходы!L22</f>
        <v>2988025.6386002521</v>
      </c>
      <c r="C23" s="48">
        <f>'орех сарех'!$C$12</f>
        <v>1837000</v>
      </c>
      <c r="D23" s="48">
        <v>0</v>
      </c>
      <c r="E23" s="48">
        <f>Финансирование!B23</f>
        <v>0</v>
      </c>
      <c r="F23" s="48">
        <f t="shared" si="0"/>
        <v>2683006.4096500631</v>
      </c>
      <c r="G23" s="48"/>
      <c r="H23" s="49">
        <f>B23*0.25</f>
        <v>747006.40965006303</v>
      </c>
      <c r="I23" s="46">
        <v>99000</v>
      </c>
      <c r="J23" s="49">
        <f>B23-H23-I22-C22</f>
        <v>305019.22895018896</v>
      </c>
      <c r="K23" s="50">
        <f t="shared" si="1"/>
        <v>1151025.6386002521</v>
      </c>
      <c r="L23" s="50">
        <f t="shared" si="2"/>
        <v>2988025.6386002521</v>
      </c>
      <c r="M23" s="49">
        <f t="shared" si="3"/>
        <v>2683006.4096500631</v>
      </c>
      <c r="N23" s="49">
        <f t="shared" si="4"/>
        <v>305019.22895018896</v>
      </c>
      <c r="O23" s="49">
        <f t="shared" si="5"/>
        <v>2377987.1806998742</v>
      </c>
    </row>
    <row r="24" spans="1:16">
      <c r="A24" s="47">
        <v>23</v>
      </c>
      <c r="B24" s="48">
        <f>Доходы!L23</f>
        <v>3436229.4843902895</v>
      </c>
      <c r="C24" s="48">
        <f>'орех сарех'!$C$12</f>
        <v>1837000</v>
      </c>
      <c r="D24" s="48">
        <v>0</v>
      </c>
      <c r="E24" s="48">
        <f>Финансирование!B24</f>
        <v>0</v>
      </c>
      <c r="F24" s="48">
        <f t="shared" si="0"/>
        <v>2795057.3710975721</v>
      </c>
      <c r="G24" s="48"/>
      <c r="H24" s="49">
        <f>B24*0.25</f>
        <v>859057.37109757238</v>
      </c>
      <c r="I24" s="46">
        <v>99000</v>
      </c>
      <c r="J24" s="49">
        <f>B24-H24-I23-C23</f>
        <v>641172.11329271737</v>
      </c>
      <c r="K24" s="50">
        <f t="shared" si="1"/>
        <v>1599229.4843902895</v>
      </c>
      <c r="L24" s="50">
        <f t="shared" si="2"/>
        <v>3436229.4843902895</v>
      </c>
      <c r="M24" s="49">
        <f t="shared" si="3"/>
        <v>2795057.3710975721</v>
      </c>
      <c r="N24" s="49">
        <f t="shared" si="4"/>
        <v>641172.11329271737</v>
      </c>
      <c r="O24" s="49">
        <f t="shared" si="5"/>
        <v>2153885.2578048548</v>
      </c>
    </row>
    <row r="25" spans="1:16">
      <c r="A25" s="47">
        <v>24</v>
      </c>
      <c r="B25" s="48">
        <f>Доходы!L24</f>
        <v>3951663.9070488326</v>
      </c>
      <c r="C25" s="48">
        <f>'орех сарех'!$C$12</f>
        <v>1837000</v>
      </c>
      <c r="D25" s="48">
        <v>0</v>
      </c>
      <c r="E25" s="48">
        <f>Финансирование!B25</f>
        <v>0</v>
      </c>
      <c r="F25" s="48">
        <f t="shared" si="0"/>
        <v>2923915.9767622082</v>
      </c>
      <c r="G25" s="48"/>
      <c r="H25" s="49">
        <f>B25*0.25</f>
        <v>987915.97676220816</v>
      </c>
      <c r="I25" s="46">
        <v>99000</v>
      </c>
      <c r="J25" s="49">
        <f>B25-H25-I24-C24</f>
        <v>1027747.9302866245</v>
      </c>
      <c r="K25" s="50">
        <f t="shared" si="1"/>
        <v>2114663.9070488326</v>
      </c>
      <c r="L25" s="50">
        <f t="shared" si="2"/>
        <v>3951663.9070488326</v>
      </c>
      <c r="M25" s="49">
        <f t="shared" si="3"/>
        <v>2923915.9767622082</v>
      </c>
      <c r="N25" s="49">
        <f t="shared" si="4"/>
        <v>1027747.9302866245</v>
      </c>
      <c r="O25" s="49">
        <f t="shared" si="5"/>
        <v>1896168.0464755837</v>
      </c>
    </row>
    <row r="26" spans="1:16">
      <c r="A26" s="47">
        <v>25</v>
      </c>
      <c r="B26" s="48">
        <f>Доходы!L25</f>
        <v>4544413.4931061575</v>
      </c>
      <c r="C26" s="48">
        <f>'орех сарех'!$C$12</f>
        <v>1837000</v>
      </c>
      <c r="D26" s="48">
        <v>0</v>
      </c>
      <c r="E26" s="48">
        <f>Финансирование!B26</f>
        <v>0</v>
      </c>
      <c r="F26" s="48">
        <f t="shared" si="0"/>
        <v>3072103.3732765391</v>
      </c>
      <c r="G26" s="48"/>
      <c r="H26" s="49">
        <f>B26*0.25</f>
        <v>1136103.3732765394</v>
      </c>
      <c r="I26" s="46">
        <v>99000</v>
      </c>
      <c r="J26" s="49">
        <f>B26-H26-I25-C25</f>
        <v>1472310.1198296184</v>
      </c>
      <c r="K26" s="50">
        <f t="shared" si="1"/>
        <v>2707413.4931061575</v>
      </c>
      <c r="L26" s="50">
        <f t="shared" si="2"/>
        <v>4544413.4931061575</v>
      </c>
      <c r="M26" s="49">
        <f t="shared" si="3"/>
        <v>3072103.3732765391</v>
      </c>
      <c r="N26" s="49">
        <f t="shared" si="4"/>
        <v>1472310.1198296184</v>
      </c>
      <c r="O26" s="49">
        <f t="shared" si="5"/>
        <v>1599793.2534469208</v>
      </c>
    </row>
    <row r="27" spans="1:16">
      <c r="A27" s="47">
        <v>26</v>
      </c>
      <c r="B27" s="48">
        <f>Доходы!L26</f>
        <v>5226075.5170720806</v>
      </c>
      <c r="C27" s="48">
        <f>'орех сарех'!$C$12</f>
        <v>1837000</v>
      </c>
      <c r="D27" s="48">
        <v>0</v>
      </c>
      <c r="E27" s="48">
        <f>Финансирование!B27</f>
        <v>0</v>
      </c>
      <c r="F27" s="48">
        <f t="shared" si="0"/>
        <v>3242518.8792680204</v>
      </c>
      <c r="G27" s="48"/>
      <c r="H27" s="49">
        <f>B27*0.25</f>
        <v>1306518.8792680202</v>
      </c>
      <c r="I27" s="46">
        <v>99000</v>
      </c>
      <c r="J27" s="49">
        <f>B27-H27-I26-C26</f>
        <v>1983556.6378040602</v>
      </c>
      <c r="K27" s="50">
        <f t="shared" si="1"/>
        <v>3389075.5170720806</v>
      </c>
      <c r="L27" s="50">
        <f t="shared" si="2"/>
        <v>5226075.5170720806</v>
      </c>
      <c r="M27" s="49">
        <f t="shared" si="3"/>
        <v>3242518.8792680204</v>
      </c>
      <c r="N27" s="49">
        <f t="shared" si="4"/>
        <v>1983556.6378040602</v>
      </c>
      <c r="O27" s="49">
        <f t="shared" si="5"/>
        <v>1258962.2414639601</v>
      </c>
    </row>
    <row r="28" spans="1:16">
      <c r="A28" s="47">
        <v>27</v>
      </c>
      <c r="B28" s="48">
        <f>Доходы!L27</f>
        <v>6009986.8446328929</v>
      </c>
      <c r="C28" s="48">
        <f>'орех сарех'!$C$12</f>
        <v>1837000</v>
      </c>
      <c r="D28" s="48">
        <v>0</v>
      </c>
      <c r="E28" s="48">
        <v>15000000</v>
      </c>
      <c r="F28" s="48">
        <f t="shared" si="0"/>
        <v>3438496.7111582235</v>
      </c>
      <c r="G28" s="48"/>
      <c r="H28" s="49">
        <f>B28*0.25</f>
        <v>1502496.7111582232</v>
      </c>
      <c r="I28" s="46">
        <v>99000</v>
      </c>
      <c r="J28" s="49">
        <f>B28-H28-I27-C27</f>
        <v>2571490.1334746694</v>
      </c>
      <c r="K28" s="50">
        <f t="shared" si="1"/>
        <v>4172986.8446328929</v>
      </c>
      <c r="L28" s="50">
        <f t="shared" si="2"/>
        <v>21009986.844632894</v>
      </c>
      <c r="M28" s="49">
        <f t="shared" si="3"/>
        <v>3438496.7111582235</v>
      </c>
      <c r="N28" s="49">
        <f t="shared" si="4"/>
        <v>17571490.13347467</v>
      </c>
      <c r="O28" s="49">
        <f t="shared" si="5"/>
        <v>-14132993.422316447</v>
      </c>
      <c r="P28" s="10"/>
    </row>
    <row r="29" spans="1:16">
      <c r="A29" s="47">
        <v>28</v>
      </c>
      <c r="B29" s="48">
        <f>Доходы!L28</f>
        <v>6911484.8713278249</v>
      </c>
      <c r="C29" s="48">
        <f>'орех сарех'!$C$12</f>
        <v>1837000</v>
      </c>
      <c r="D29" s="48">
        <v>0</v>
      </c>
      <c r="E29" s="48">
        <f>Финансирование!B29</f>
        <v>0</v>
      </c>
      <c r="F29" s="48">
        <f t="shared" si="0"/>
        <v>3663871.2178319562</v>
      </c>
      <c r="G29" s="48"/>
      <c r="H29" s="49">
        <f>B29*0.25</f>
        <v>1727871.2178319562</v>
      </c>
      <c r="I29" s="46">
        <v>99000</v>
      </c>
      <c r="J29" s="49">
        <f>B29-H29-I28-C28</f>
        <v>3247613.6534958687</v>
      </c>
      <c r="K29" s="50">
        <f t="shared" si="1"/>
        <v>5074484.8713278249</v>
      </c>
      <c r="L29" s="50">
        <f t="shared" si="2"/>
        <v>6911484.8713278249</v>
      </c>
      <c r="M29" s="49">
        <f t="shared" si="3"/>
        <v>3663871.2178319562</v>
      </c>
      <c r="N29" s="49">
        <f t="shared" si="4"/>
        <v>3247613.6534958687</v>
      </c>
      <c r="O29" s="49">
        <f t="shared" si="5"/>
        <v>416257.56433608755</v>
      </c>
      <c r="P29" s="10"/>
    </row>
    <row r="30" spans="1:16">
      <c r="A30" s="47">
        <v>29</v>
      </c>
      <c r="B30" s="48">
        <f>Доходы!L29</f>
        <v>7948207.602026999</v>
      </c>
      <c r="C30" s="48">
        <f>'орех сарех'!$C$12</f>
        <v>1837000</v>
      </c>
      <c r="D30" s="48">
        <v>0</v>
      </c>
      <c r="E30" s="48">
        <f>Финансирование!B30</f>
        <v>0</v>
      </c>
      <c r="F30" s="48">
        <f t="shared" si="0"/>
        <v>3923051.9005067497</v>
      </c>
      <c r="G30" s="48"/>
      <c r="H30" s="49">
        <f>B30*0.25</f>
        <v>1987051.9005067497</v>
      </c>
      <c r="I30" s="46">
        <v>99000</v>
      </c>
      <c r="J30" s="49">
        <f>B30-H30-I29-C29</f>
        <v>4025155.7015202492</v>
      </c>
      <c r="K30" s="50">
        <f t="shared" si="1"/>
        <v>6111207.602026999</v>
      </c>
      <c r="L30" s="50">
        <f t="shared" si="2"/>
        <v>7948207.602026999</v>
      </c>
      <c r="M30" s="49">
        <f t="shared" si="3"/>
        <v>3923051.9005067497</v>
      </c>
      <c r="N30" s="49">
        <f t="shared" si="4"/>
        <v>4025155.7015202492</v>
      </c>
      <c r="O30" s="49">
        <f t="shared" si="5"/>
        <v>-102103.8010134995</v>
      </c>
    </row>
    <row r="31" spans="1:16">
      <c r="A31" s="47">
        <v>30</v>
      </c>
      <c r="B31" s="52">
        <f>Доходы!L30</f>
        <v>9140438.7423310503</v>
      </c>
      <c r="C31" s="52">
        <f>'орех сарех'!$C$12</f>
        <v>1837000</v>
      </c>
      <c r="D31" s="52">
        <v>0</v>
      </c>
      <c r="E31" s="52">
        <f>Финансирование!B31</f>
        <v>0</v>
      </c>
      <c r="F31" s="52">
        <f t="shared" si="0"/>
        <v>4221109.6855827626</v>
      </c>
      <c r="G31" s="52"/>
      <c r="H31" s="53">
        <f>B31*0.25</f>
        <v>2285109.6855827626</v>
      </c>
      <c r="I31" s="54">
        <v>99000</v>
      </c>
      <c r="J31" s="53">
        <f>B31-H31-I30-C30</f>
        <v>4919329.0567482878</v>
      </c>
      <c r="K31" s="55">
        <f t="shared" si="1"/>
        <v>7303438.7423310503</v>
      </c>
      <c r="L31" s="55">
        <f t="shared" si="2"/>
        <v>9140438.7423310503</v>
      </c>
      <c r="M31" s="53">
        <f t="shared" si="3"/>
        <v>4221109.6855827626</v>
      </c>
      <c r="N31" s="53">
        <f t="shared" si="4"/>
        <v>4919329.0567482878</v>
      </c>
      <c r="O31" s="53">
        <f t="shared" si="5"/>
        <v>-698219.37116552517</v>
      </c>
    </row>
    <row r="32" spans="1:16">
      <c r="A32" s="47">
        <v>31</v>
      </c>
      <c r="B32" s="56">
        <f>Доходы!L31</f>
        <v>10511504.553680707</v>
      </c>
      <c r="C32" s="56">
        <f>'орех сарех'!$C$12</f>
        <v>1837000</v>
      </c>
      <c r="D32" s="56">
        <v>0</v>
      </c>
      <c r="E32" s="56">
        <f>Финансирование!B32</f>
        <v>0</v>
      </c>
      <c r="F32" s="56">
        <f t="shared" si="0"/>
        <v>4563876.1384201767</v>
      </c>
      <c r="G32" s="56"/>
      <c r="H32" s="57">
        <f>B32*0.25</f>
        <v>2627876.1384201767</v>
      </c>
      <c r="I32" s="58">
        <v>99000</v>
      </c>
      <c r="J32" s="57">
        <f>B32-H32-I31-C31</f>
        <v>5947628.4152605301</v>
      </c>
      <c r="K32" s="59">
        <f t="shared" si="1"/>
        <v>8674504.5536807068</v>
      </c>
      <c r="L32" s="59">
        <f t="shared" si="2"/>
        <v>10511504.553680707</v>
      </c>
      <c r="M32" s="57">
        <f t="shared" si="3"/>
        <v>4563876.1384201767</v>
      </c>
      <c r="N32" s="57">
        <f t="shared" si="4"/>
        <v>5947628.4152605301</v>
      </c>
      <c r="O32" s="57">
        <f t="shared" si="5"/>
        <v>-1383752.2768403534</v>
      </c>
      <c r="P32" t="s">
        <v>136</v>
      </c>
    </row>
    <row r="33" spans="1:15">
      <c r="A33" s="47">
        <v>32</v>
      </c>
      <c r="B33" s="56">
        <f>Доходы!L32</f>
        <v>12088230.236732809</v>
      </c>
      <c r="C33" s="56">
        <f>'орех сарех'!$C$12</f>
        <v>1837000</v>
      </c>
      <c r="D33" s="56">
        <v>0</v>
      </c>
      <c r="E33" s="56">
        <f>Финансирование!B33</f>
        <v>0</v>
      </c>
      <c r="F33" s="56">
        <f t="shared" si="0"/>
        <v>4958057.5591832027</v>
      </c>
      <c r="G33" s="56"/>
      <c r="H33" s="57">
        <f>B33*0.25</f>
        <v>3022057.5591832022</v>
      </c>
      <c r="I33" s="58">
        <v>99000</v>
      </c>
      <c r="J33" s="57">
        <f>B33-H33-I32-C32</f>
        <v>7130172.6775496062</v>
      </c>
      <c r="K33" s="59">
        <f t="shared" si="1"/>
        <v>10251230.236732809</v>
      </c>
      <c r="L33" s="59">
        <f t="shared" si="2"/>
        <v>12088230.236732809</v>
      </c>
      <c r="M33" s="57">
        <f t="shared" si="3"/>
        <v>4958057.5591832027</v>
      </c>
      <c r="N33" s="57">
        <f t="shared" si="4"/>
        <v>7130172.6775496062</v>
      </c>
      <c r="O33" s="57">
        <f t="shared" si="5"/>
        <v>-2172115.1183664035</v>
      </c>
    </row>
    <row r="34" spans="1:15">
      <c r="A34" s="47">
        <v>33</v>
      </c>
      <c r="B34" s="56">
        <f>Доходы!L33</f>
        <v>13901464.772242729</v>
      </c>
      <c r="C34" s="56">
        <f>'орех сарех'!$C$12</f>
        <v>1837000</v>
      </c>
      <c r="D34" s="56">
        <v>0</v>
      </c>
      <c r="E34" s="56">
        <f>Финансирование!B34</f>
        <v>0</v>
      </c>
      <c r="F34" s="56">
        <f t="shared" si="0"/>
        <v>5411366.1930606822</v>
      </c>
      <c r="G34" s="56"/>
      <c r="H34" s="57">
        <f>B34*0.25</f>
        <v>3475366.1930606822</v>
      </c>
      <c r="I34" s="58">
        <v>99000</v>
      </c>
      <c r="J34" s="57">
        <f>B34-H34-I33-C33</f>
        <v>8490098.5791820474</v>
      </c>
      <c r="K34" s="59">
        <f t="shared" si="1"/>
        <v>12064464.772242729</v>
      </c>
      <c r="L34" s="59">
        <f t="shared" si="2"/>
        <v>13901464.772242729</v>
      </c>
      <c r="M34" s="57">
        <f t="shared" si="3"/>
        <v>5411366.1930606822</v>
      </c>
      <c r="N34" s="57">
        <f t="shared" si="4"/>
        <v>8490098.5791820474</v>
      </c>
      <c r="O34" s="57">
        <f t="shared" si="5"/>
        <v>-3078732.3861213652</v>
      </c>
    </row>
    <row r="35" spans="1:15">
      <c r="A35" s="47">
        <v>34</v>
      </c>
      <c r="B35" s="56">
        <f>Доходы!L34</f>
        <v>15986684.488079136</v>
      </c>
      <c r="C35" s="56">
        <f>'орех сарех'!$C$12</f>
        <v>1837000</v>
      </c>
      <c r="D35" s="56">
        <v>0</v>
      </c>
      <c r="E35" s="56">
        <f>Финансирование!B35</f>
        <v>0</v>
      </c>
      <c r="F35" s="56">
        <f t="shared" si="0"/>
        <v>5932671.1220197845</v>
      </c>
      <c r="G35" s="56"/>
      <c r="H35" s="57">
        <f>B35*0.25</f>
        <v>3996671.1220197841</v>
      </c>
      <c r="I35" s="58">
        <v>99000</v>
      </c>
      <c r="J35" s="57">
        <f>B35-H35-I34-C34</f>
        <v>10054013.366059352</v>
      </c>
      <c r="K35" s="59">
        <f t="shared" si="1"/>
        <v>14149684.488079136</v>
      </c>
      <c r="L35" s="59">
        <f t="shared" si="2"/>
        <v>15986684.488079136</v>
      </c>
      <c r="M35" s="57">
        <f t="shared" si="3"/>
        <v>5932671.1220197845</v>
      </c>
      <c r="N35" s="57">
        <f t="shared" si="4"/>
        <v>10054013.366059352</v>
      </c>
      <c r="O35" s="57">
        <f t="shared" si="5"/>
        <v>-4121342.2440395672</v>
      </c>
    </row>
    <row r="36" spans="1:15">
      <c r="A36" s="47">
        <v>35</v>
      </c>
      <c r="B36" s="56">
        <f>Доходы!L35</f>
        <v>18384687.161291003</v>
      </c>
      <c r="C36" s="56">
        <f>'орех сарех'!$C$12</f>
        <v>1837000</v>
      </c>
      <c r="D36" s="56">
        <v>0</v>
      </c>
      <c r="E36" s="56">
        <f>Финансирование!B36</f>
        <v>0</v>
      </c>
      <c r="F36" s="56">
        <f t="shared" si="0"/>
        <v>6532171.7903227508</v>
      </c>
      <c r="G36" s="56"/>
      <c r="H36" s="57">
        <f>B36*0.25</f>
        <v>4596171.7903227508</v>
      </c>
      <c r="I36" s="58">
        <v>99000</v>
      </c>
      <c r="J36" s="57">
        <f>B36-H36-I35-C35</f>
        <v>11852515.370968252</v>
      </c>
      <c r="K36" s="59">
        <f t="shared" si="1"/>
        <v>16547687.161291003</v>
      </c>
      <c r="L36" s="59">
        <f t="shared" si="2"/>
        <v>18384687.161291003</v>
      </c>
      <c r="M36" s="57">
        <f t="shared" si="3"/>
        <v>6532171.7903227508</v>
      </c>
      <c r="N36" s="57">
        <f t="shared" si="4"/>
        <v>11852515.370968252</v>
      </c>
      <c r="O36" s="57">
        <f t="shared" si="5"/>
        <v>-5320343.5806455016</v>
      </c>
    </row>
    <row r="37" spans="1:15">
      <c r="A37" s="47">
        <v>36</v>
      </c>
      <c r="B37" s="56">
        <f>Доходы!L36</f>
        <v>21142390.235484652</v>
      </c>
      <c r="C37" s="56">
        <f>'орех сарех'!$C$12</f>
        <v>1837000</v>
      </c>
      <c r="D37" s="56">
        <v>0</v>
      </c>
      <c r="E37" s="56">
        <f>Финансирование!B37</f>
        <v>0</v>
      </c>
      <c r="F37" s="56">
        <f t="shared" si="0"/>
        <v>7221597.5588711631</v>
      </c>
      <c r="G37" s="56"/>
      <c r="H37" s="57">
        <f>B37*0.25</f>
        <v>5285597.5588711631</v>
      </c>
      <c r="I37" s="58">
        <v>99000</v>
      </c>
      <c r="J37" s="57">
        <f>B37-H37-I36-C36</f>
        <v>13920792.676613489</v>
      </c>
      <c r="K37" s="59">
        <f t="shared" si="1"/>
        <v>19305390.235484652</v>
      </c>
      <c r="L37" s="59">
        <f t="shared" si="2"/>
        <v>21142390.235484652</v>
      </c>
      <c r="M37" s="57">
        <f t="shared" si="3"/>
        <v>7221597.5588711631</v>
      </c>
      <c r="N37" s="57">
        <f t="shared" si="4"/>
        <v>13920792.676613489</v>
      </c>
      <c r="O37" s="57">
        <f t="shared" si="5"/>
        <v>-6699195.1177423261</v>
      </c>
    </row>
    <row r="38" spans="1:15" ht="15.75">
      <c r="B38" s="2"/>
      <c r="C38" s="2"/>
      <c r="D38" s="2"/>
      <c r="E38" s="2"/>
      <c r="F38" s="42"/>
      <c r="G38" s="2"/>
      <c r="H38" s="10"/>
      <c r="I38" s="43"/>
      <c r="J38" s="44"/>
      <c r="K38" s="45"/>
      <c r="L38" s="45"/>
      <c r="M38" s="44"/>
      <c r="N38" s="44"/>
      <c r="O38" s="44"/>
    </row>
    <row r="41" spans="1:15" ht="15" customHeight="1">
      <c r="F41" s="13">
        <f>AVERAGE(F2:F13)</f>
        <v>1872553.1307531109</v>
      </c>
      <c r="J41" s="10"/>
    </row>
    <row r="42" spans="1:15">
      <c r="F42" s="13"/>
      <c r="J42" s="10"/>
      <c r="M42" t="s">
        <v>137</v>
      </c>
      <c r="N42" s="13">
        <f>SUM(N2:N13)</f>
        <v>-695087.29288800759</v>
      </c>
    </row>
    <row r="43" spans="1:15">
      <c r="J43" s="13"/>
      <c r="M43" t="s">
        <v>138</v>
      </c>
      <c r="N43" s="10">
        <f>SUM(N14:N25)</f>
        <v>10243150.589199275</v>
      </c>
    </row>
    <row r="44" spans="1:15" ht="15" customHeight="1">
      <c r="M44" t="s">
        <v>139</v>
      </c>
      <c r="N44" s="10">
        <f>SUM(N26:N37)</f>
        <v>90614676.38850604</v>
      </c>
    </row>
    <row r="61" spans="1:9">
      <c r="A61" s="1" t="s">
        <v>137</v>
      </c>
      <c r="B61" s="13">
        <f>SUM(B2:B13)</f>
        <v>4234550.2761493251</v>
      </c>
      <c r="H61" s="10">
        <f>SUM(H2:H13)</f>
        <v>1058637.5690373313</v>
      </c>
      <c r="I61">
        <f>SUM(I2:I13)</f>
        <v>1188000</v>
      </c>
    </row>
    <row r="62" spans="1:9">
      <c r="A62" s="1" t="s">
        <v>138</v>
      </c>
      <c r="B62" s="13">
        <f>SUM(B14:B25)</f>
        <v>24633534.11893237</v>
      </c>
      <c r="H62" s="10">
        <f>SUM(H14:H25)</f>
        <v>6158383.5297330925</v>
      </c>
      <c r="I62">
        <f>SUM(I14:I25)</f>
        <v>1188000</v>
      </c>
    </row>
    <row r="63" spans="1:9">
      <c r="A63" t="s">
        <v>139</v>
      </c>
      <c r="B63" s="13">
        <f>SUM(B26:B37)</f>
        <v>131795568.51800802</v>
      </c>
      <c r="H63" s="10">
        <f>SUM(H26:H37)</f>
        <v>32948892.129502006</v>
      </c>
      <c r="I63">
        <f>SUM(I15:I26)</f>
        <v>1188000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54B6-834E-0242-8B06-91D7CE1D1950}">
  <dimension ref="A1:J13"/>
  <sheetViews>
    <sheetView workbookViewId="0">
      <selection activeCell="G20" sqref="G20"/>
    </sheetView>
  </sheetViews>
  <sheetFormatPr defaultColWidth="11.5703125" defaultRowHeight="14.45"/>
  <cols>
    <col min="1" max="1" width="22.7109375" customWidth="1"/>
    <col min="2" max="2" width="21" customWidth="1"/>
    <col min="5" max="5" width="32.42578125" customWidth="1"/>
    <col min="8" max="8" width="20.85546875" customWidth="1"/>
    <col min="9" max="9" width="19.85546875" customWidth="1"/>
  </cols>
  <sheetData>
    <row r="1" spans="1:10">
      <c r="A1" t="s">
        <v>140</v>
      </c>
      <c r="B1" t="s">
        <v>141</v>
      </c>
    </row>
    <row r="2" spans="1:10">
      <c r="A2" t="s">
        <v>142</v>
      </c>
      <c r="B2" s="14">
        <v>0.17499999999999999</v>
      </c>
    </row>
    <row r="3" spans="1:10">
      <c r="A3" t="s">
        <v>143</v>
      </c>
      <c r="B3" s="15">
        <v>22000000</v>
      </c>
      <c r="D3">
        <v>0</v>
      </c>
      <c r="E3" s="15">
        <v>-22000000</v>
      </c>
    </row>
    <row r="4" spans="1:10">
      <c r="A4" t="s">
        <v>144</v>
      </c>
      <c r="B4" s="15">
        <f>'Денежный поток'!B61</f>
        <v>4234550.2761493251</v>
      </c>
      <c r="D4">
        <v>1</v>
      </c>
      <c r="E4" s="15">
        <f>'Денежный поток'!N42</f>
        <v>-695087.29288800759</v>
      </c>
      <c r="H4" t="s">
        <v>145</v>
      </c>
      <c r="J4" s="37" cm="1">
        <f t="array" ref="J4">SUM(('Денежный поток'!N42:N44)-B3)/B3*100%</f>
        <v>1.5528518038553321</v>
      </c>
    </row>
    <row r="5" spans="1:10">
      <c r="A5" t="s">
        <v>146</v>
      </c>
      <c r="B5" s="16">
        <f>'Денежный поток'!C13*10+'Денежный поток'!C2*2+'Денежный поток'!D2+'Денежный поток'!D5+'Денежный поток'!H61+'Денежный поток'!I61</f>
        <v>26929637.569037333</v>
      </c>
      <c r="D5">
        <v>2</v>
      </c>
      <c r="E5" s="15">
        <f>'Денежный поток'!N43</f>
        <v>10243150.589199275</v>
      </c>
    </row>
    <row r="6" spans="1:10">
      <c r="A6" t="s">
        <v>147</v>
      </c>
      <c r="B6" s="15">
        <f>'Денежный поток'!B62</f>
        <v>24633534.11893237</v>
      </c>
      <c r="D6">
        <v>3</v>
      </c>
      <c r="E6" s="15">
        <f>'Денежный поток'!N44</f>
        <v>90614676.38850604</v>
      </c>
    </row>
    <row r="7" spans="1:10">
      <c r="A7" t="s">
        <v>148</v>
      </c>
      <c r="B7" s="15">
        <f>'Денежный поток'!C25*12+'Денежный поток'!H62+'Денежный поток'!I62</f>
        <v>29390383.529733092</v>
      </c>
      <c r="D7" t="s">
        <v>149</v>
      </c>
      <c r="E7" s="37">
        <f>IRR(E3:E6)</f>
        <v>0.68861772926964337</v>
      </c>
      <c r="F7" s="37"/>
    </row>
    <row r="8" spans="1:10">
      <c r="A8" t="s">
        <v>150</v>
      </c>
      <c r="B8" s="15">
        <f>'Денежный поток'!B63</f>
        <v>131795568.51800802</v>
      </c>
    </row>
    <row r="9" spans="1:10">
      <c r="A9" t="s">
        <v>151</v>
      </c>
      <c r="B9" s="15">
        <f>'Денежный поток'!C37*12+'Денежный поток'!H63+'Денежный поток'!I63</f>
        <v>56180892.129502006</v>
      </c>
      <c r="H9" t="s">
        <v>152</v>
      </c>
      <c r="I9" s="15">
        <f>'Денежный поток'!N42/(1+B2)+'Денежный поток'!N43/(1+B2)^2+'Денежный поток'!N44/(1+B2)^3+I12</f>
        <v>43360926.733128503</v>
      </c>
    </row>
    <row r="10" spans="1:10">
      <c r="A10" t="s">
        <v>153</v>
      </c>
      <c r="B10" s="15">
        <f>(B4-B5)/(1+B2)^(1)+(B6-B7)/(1+B2)^(2)+(B8-B9)/(1+B2)^(3)-B3</f>
        <v>1851037.8237248585</v>
      </c>
    </row>
    <row r="11" spans="1:10">
      <c r="B11" s="37"/>
    </row>
    <row r="12" spans="1:10">
      <c r="D12" t="s">
        <v>154</v>
      </c>
      <c r="E12">
        <f>B6/B4*100%</f>
        <v>5.8172727946290435</v>
      </c>
      <c r="H12" t="s">
        <v>155</v>
      </c>
      <c r="I12" s="15">
        <f>'Денежный поток'!N43/(B2-E12)+'Денежный поток'!N44/(B2-E13)</f>
        <v>-19324666.054332715</v>
      </c>
    </row>
    <row r="13" spans="1:10">
      <c r="D13" t="s">
        <v>156</v>
      </c>
      <c r="E13">
        <f>B8/B6*100%</f>
        <v>5.3502501054737053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Olya Kuznetsova</dc:creator>
  <cp:keywords/>
  <dc:description/>
  <cp:lastModifiedBy/>
  <cp:revision/>
  <dcterms:created xsi:type="dcterms:W3CDTF">2025-05-05T21:22:17Z</dcterms:created>
  <dcterms:modified xsi:type="dcterms:W3CDTF">2025-05-25T17:15:28Z</dcterms:modified>
  <cp:category/>
  <cp:contentStatus/>
</cp:coreProperties>
</file>