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8940" tabRatio="987" activeTab="1"/>
  </bookViews>
  <sheets>
    <sheet name="Модель" sheetId="1" r:id="rId1"/>
    <sheet name="Персонал" sheetId="2" r:id="rId2"/>
    <sheet name="Константы" sheetId="3" r:id="rId3"/>
  </sheets>
  <calcPr calcId="162913" iterateDelta="1E-4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K10" i="1"/>
  <c r="L10" i="1"/>
  <c r="M10" i="1"/>
  <c r="N10" i="1"/>
  <c r="C26" i="1"/>
  <c r="B45" i="1" l="1"/>
  <c r="B12" i="3"/>
  <c r="O2" i="1"/>
  <c r="O3" i="1"/>
  <c r="C4" i="1"/>
  <c r="D4" i="1"/>
  <c r="E4" i="1"/>
  <c r="F4" i="1"/>
  <c r="G4" i="1"/>
  <c r="H4" i="1"/>
  <c r="I4" i="1"/>
  <c r="J4" i="1"/>
  <c r="K4" i="1"/>
  <c r="L4" i="1"/>
  <c r="M4" i="1"/>
  <c r="N4" i="1"/>
  <c r="C5" i="1"/>
  <c r="D5" i="1"/>
  <c r="E5" i="1"/>
  <c r="F5" i="1"/>
  <c r="G5" i="1"/>
  <c r="H5" i="1"/>
  <c r="I5" i="1"/>
  <c r="J5" i="1"/>
  <c r="K5" i="1"/>
  <c r="L5" i="1"/>
  <c r="M5" i="1"/>
  <c r="N5" i="1"/>
  <c r="D8" i="1"/>
  <c r="E8" i="1"/>
  <c r="F8" i="1"/>
  <c r="G8" i="1"/>
  <c r="H8" i="1"/>
  <c r="I8" i="1"/>
  <c r="J8" i="1"/>
  <c r="K8" i="1"/>
  <c r="L8" i="1"/>
  <c r="M8" i="1"/>
  <c r="N8" i="1"/>
  <c r="D10" i="1"/>
  <c r="D26" i="1"/>
  <c r="E26" i="1"/>
  <c r="F26" i="1"/>
  <c r="G26" i="1"/>
  <c r="H26" i="1"/>
  <c r="I26" i="1"/>
  <c r="J26" i="1"/>
  <c r="K26" i="1"/>
  <c r="L26" i="1"/>
  <c r="M26" i="1"/>
  <c r="N26" i="1"/>
  <c r="O32" i="1"/>
  <c r="O36" i="1"/>
  <c r="C46" i="1"/>
  <c r="D46" i="1" s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O46" i="1"/>
  <c r="E4" i="2"/>
  <c r="G4" i="2" s="1"/>
  <c r="F4" i="2"/>
  <c r="K4" i="2"/>
  <c r="M4" i="2" s="1"/>
  <c r="L4" i="2"/>
  <c r="Q4" i="2"/>
  <c r="R4" i="2"/>
  <c r="W4" i="2"/>
  <c r="X4" i="2"/>
  <c r="Y4" i="2"/>
  <c r="AC4" i="2"/>
  <c r="AE4" i="2" s="1"/>
  <c r="AD4" i="2"/>
  <c r="AI4" i="2"/>
  <c r="AK4" i="2" s="1"/>
  <c r="AJ4" i="2"/>
  <c r="AO4" i="2"/>
  <c r="AP4" i="2"/>
  <c r="AQ4" i="2" s="1"/>
  <c r="AU4" i="2"/>
  <c r="AV4" i="2"/>
  <c r="AW4" i="2"/>
  <c r="BA4" i="2"/>
  <c r="BC4" i="2" s="1"/>
  <c r="BB4" i="2"/>
  <c r="BG4" i="2"/>
  <c r="BI4" i="2" s="1"/>
  <c r="BH4" i="2"/>
  <c r="BM4" i="2"/>
  <c r="BN4" i="2"/>
  <c r="BO4" i="2" s="1"/>
  <c r="BS4" i="2"/>
  <c r="BT4" i="2"/>
  <c r="BU4" i="2"/>
  <c r="AC6" i="2"/>
  <c r="AD6" i="2"/>
  <c r="AE6" i="2"/>
  <c r="AI6" i="2"/>
  <c r="AK6" i="2" s="1"/>
  <c r="AJ6" i="2"/>
  <c r="AO6" i="2"/>
  <c r="AQ6" i="2" s="1"/>
  <c r="AP6" i="2"/>
  <c r="AU6" i="2"/>
  <c r="AV6" i="2"/>
  <c r="AW6" i="2"/>
  <c r="BA6" i="2"/>
  <c r="BB6" i="2"/>
  <c r="BC6" i="2"/>
  <c r="BG6" i="2"/>
  <c r="BI6" i="2" s="1"/>
  <c r="BH6" i="2"/>
  <c r="BM6" i="2"/>
  <c r="BO6" i="2" s="1"/>
  <c r="BN6" i="2"/>
  <c r="BS6" i="2"/>
  <c r="BT6" i="2"/>
  <c r="BU6" i="2"/>
  <c r="O4" i="1" l="1"/>
  <c r="S4" i="2"/>
  <c r="C6" i="1"/>
  <c r="C9" i="1"/>
  <c r="O26" i="1"/>
  <c r="D6" i="1" l="1"/>
  <c r="D9" i="1"/>
  <c r="C11" i="1"/>
  <c r="C21" i="1"/>
  <c r="B3" i="2" l="1"/>
  <c r="B11" i="2"/>
  <c r="C23" i="1"/>
  <c r="D11" i="1"/>
  <c r="D21" i="1"/>
  <c r="E6" i="1"/>
  <c r="E9" i="1"/>
  <c r="E21" i="1" l="1"/>
  <c r="E11" i="1"/>
  <c r="H3" i="2"/>
  <c r="H11" i="2"/>
  <c r="F6" i="1"/>
  <c r="F9" i="1"/>
  <c r="D23" i="1"/>
  <c r="E11" i="2"/>
  <c r="C14" i="2"/>
  <c r="F11" i="2"/>
  <c r="F14" i="2" s="1"/>
  <c r="D14" i="2"/>
  <c r="B14" i="2"/>
  <c r="E3" i="2"/>
  <c r="F3" i="2"/>
  <c r="B5" i="2"/>
  <c r="B7" i="2"/>
  <c r="C27" i="1"/>
  <c r="F21" i="1" l="1"/>
  <c r="E5" i="2"/>
  <c r="F5" i="2"/>
  <c r="G11" i="2"/>
  <c r="G14" i="2" s="1"/>
  <c r="E14" i="2"/>
  <c r="F11" i="1"/>
  <c r="F31" i="1"/>
  <c r="D9" i="2"/>
  <c r="D16" i="2" s="1"/>
  <c r="G6" i="1"/>
  <c r="G9" i="1"/>
  <c r="E23" i="1"/>
  <c r="C28" i="1"/>
  <c r="B9" i="2"/>
  <c r="C9" i="2"/>
  <c r="C16" i="2" s="1"/>
  <c r="K11" i="2"/>
  <c r="L11" i="2"/>
  <c r="L14" i="2" s="1"/>
  <c r="H14" i="2"/>
  <c r="I14" i="2"/>
  <c r="J14" i="2"/>
  <c r="N3" i="2"/>
  <c r="N11" i="2"/>
  <c r="E7" i="2"/>
  <c r="F7" i="2"/>
  <c r="G3" i="2"/>
  <c r="K3" i="2"/>
  <c r="L3" i="2"/>
  <c r="H5" i="2"/>
  <c r="H7" i="2"/>
  <c r="G21" i="1" l="1"/>
  <c r="F9" i="2"/>
  <c r="F16" i="2" s="1"/>
  <c r="J9" i="2"/>
  <c r="J16" i="2" s="1"/>
  <c r="H9" i="2"/>
  <c r="D33" i="1" s="1"/>
  <c r="G7" i="2"/>
  <c r="M3" i="2"/>
  <c r="K7" i="2"/>
  <c r="L7" i="2"/>
  <c r="E9" i="2"/>
  <c r="E16" i="2" s="1"/>
  <c r="Q11" i="2"/>
  <c r="O14" i="2"/>
  <c r="R11" i="2"/>
  <c r="R14" i="2" s="1"/>
  <c r="P14" i="2"/>
  <c r="N14" i="2"/>
  <c r="G11" i="1"/>
  <c r="G31" i="1"/>
  <c r="D27" i="1"/>
  <c r="F23" i="1"/>
  <c r="H6" i="1"/>
  <c r="H9" i="1"/>
  <c r="K14" i="2"/>
  <c r="M11" i="2"/>
  <c r="M14" i="2" s="1"/>
  <c r="K5" i="2"/>
  <c r="L5" i="2"/>
  <c r="Q3" i="2"/>
  <c r="R3" i="2"/>
  <c r="N5" i="2"/>
  <c r="N7" i="2"/>
  <c r="I9" i="2"/>
  <c r="I16" i="2" s="1"/>
  <c r="E27" i="1"/>
  <c r="C35" i="1"/>
  <c r="C34" i="1"/>
  <c r="C33" i="1"/>
  <c r="B16" i="2"/>
  <c r="T3" i="2"/>
  <c r="T11" i="2"/>
  <c r="G5" i="2"/>
  <c r="H21" i="1" l="1"/>
  <c r="G9" i="2"/>
  <c r="G16" i="2" s="1"/>
  <c r="D35" i="1"/>
  <c r="P9" i="2"/>
  <c r="P16" i="2" s="1"/>
  <c r="D34" i="1"/>
  <c r="L9" i="2"/>
  <c r="L16" i="2" s="1"/>
  <c r="H16" i="2"/>
  <c r="M7" i="2"/>
  <c r="W11" i="2"/>
  <c r="X11" i="2"/>
  <c r="X14" i="2" s="1"/>
  <c r="T14" i="2"/>
  <c r="U14" i="2"/>
  <c r="V14" i="2"/>
  <c r="E28" i="1"/>
  <c r="N9" i="2"/>
  <c r="Q5" i="2"/>
  <c r="R5" i="2"/>
  <c r="M5" i="2"/>
  <c r="H11" i="1"/>
  <c r="H31" i="1"/>
  <c r="S11" i="2"/>
  <c r="S14" i="2" s="1"/>
  <c r="Q14" i="2"/>
  <c r="W3" i="2"/>
  <c r="X3" i="2"/>
  <c r="T5" i="2"/>
  <c r="T7" i="2"/>
  <c r="I6" i="1"/>
  <c r="I9" i="1"/>
  <c r="Z3" i="2"/>
  <c r="Z11" i="2"/>
  <c r="K9" i="2"/>
  <c r="K16" i="2" s="1"/>
  <c r="O9" i="2"/>
  <c r="O16" i="2" s="1"/>
  <c r="S3" i="2"/>
  <c r="D28" i="1"/>
  <c r="Q7" i="2"/>
  <c r="R7" i="2"/>
  <c r="G23" i="1"/>
  <c r="C30" i="1" l="1"/>
  <c r="C37" i="1" s="1"/>
  <c r="C38" i="1" s="1"/>
  <c r="C40" i="1" s="1"/>
  <c r="C42" i="1" s="1"/>
  <c r="I21" i="1"/>
  <c r="R9" i="2"/>
  <c r="R16" i="2" s="1"/>
  <c r="M9" i="2"/>
  <c r="M16" i="2" s="1"/>
  <c r="D30" i="1" s="1"/>
  <c r="D37" i="1" s="1"/>
  <c r="D38" i="1" s="1"/>
  <c r="D40" i="1" s="1"/>
  <c r="U9" i="2"/>
  <c r="U16" i="2" s="1"/>
  <c r="S5" i="2"/>
  <c r="V9" i="2"/>
  <c r="V16" i="2" s="1"/>
  <c r="AC11" i="2"/>
  <c r="AA14" i="2"/>
  <c r="AD11" i="2"/>
  <c r="AD14" i="2" s="1"/>
  <c r="AB14" i="2"/>
  <c r="Z14" i="2"/>
  <c r="I11" i="1"/>
  <c r="I31" i="1"/>
  <c r="W5" i="2"/>
  <c r="X5" i="2"/>
  <c r="H23" i="1"/>
  <c r="W14" i="2"/>
  <c r="Y11" i="2"/>
  <c r="Y14" i="2" s="1"/>
  <c r="S7" i="2"/>
  <c r="F27" i="1"/>
  <c r="J6" i="1"/>
  <c r="J9" i="1"/>
  <c r="E33" i="1"/>
  <c r="E34" i="1"/>
  <c r="E35" i="1"/>
  <c r="N16" i="2"/>
  <c r="Q9" i="2"/>
  <c r="Q16" i="2" s="1"/>
  <c r="G27" i="1"/>
  <c r="T9" i="2"/>
  <c r="Y3" i="2"/>
  <c r="AF3" i="2"/>
  <c r="AF11" i="2"/>
  <c r="AC3" i="2"/>
  <c r="AD3" i="2"/>
  <c r="Z5" i="2"/>
  <c r="Z7" i="2"/>
  <c r="W7" i="2"/>
  <c r="X7" i="2"/>
  <c r="C48" i="1" l="1"/>
  <c r="C49" i="1" s="1"/>
  <c r="C50" i="1" s="1"/>
  <c r="C51" i="1" s="1"/>
  <c r="C45" i="1"/>
  <c r="J21" i="1"/>
  <c r="S9" i="2"/>
  <c r="S16" i="2" s="1"/>
  <c r="E30" i="1" s="1"/>
  <c r="E37" i="1" s="1"/>
  <c r="E38" i="1" s="1"/>
  <c r="E40" i="1" s="1"/>
  <c r="AA9" i="2"/>
  <c r="AA16" i="2" s="1"/>
  <c r="W9" i="2"/>
  <c r="W16" i="2" s="1"/>
  <c r="AB9" i="2"/>
  <c r="AB16" i="2" s="1"/>
  <c r="X9" i="2"/>
  <c r="X16" i="2" s="1"/>
  <c r="H27" i="1"/>
  <c r="AI11" i="2"/>
  <c r="AJ11" i="2"/>
  <c r="AJ14" i="2" s="1"/>
  <c r="AF14" i="2"/>
  <c r="AG14" i="2"/>
  <c r="AH14" i="2"/>
  <c r="D42" i="1"/>
  <c r="AC7" i="2"/>
  <c r="AD7" i="2"/>
  <c r="Y7" i="2"/>
  <c r="Z9" i="2"/>
  <c r="AC5" i="2"/>
  <c r="AC9" i="2" s="1"/>
  <c r="AD5" i="2"/>
  <c r="AD9" i="2" s="1"/>
  <c r="AD16" i="2" s="1"/>
  <c r="AI3" i="2"/>
  <c r="AJ3" i="2"/>
  <c r="AF5" i="2"/>
  <c r="AF7" i="2"/>
  <c r="F33" i="1"/>
  <c r="F35" i="1"/>
  <c r="F34" i="1"/>
  <c r="T16" i="2"/>
  <c r="F28" i="1"/>
  <c r="Y5" i="2"/>
  <c r="I23" i="1"/>
  <c r="G28" i="1"/>
  <c r="J11" i="1"/>
  <c r="J31" i="1"/>
  <c r="AE3" i="2"/>
  <c r="K6" i="1"/>
  <c r="K9" i="1"/>
  <c r="AL3" i="2"/>
  <c r="AL11" i="2"/>
  <c r="AE11" i="2"/>
  <c r="AE14" i="2" s="1"/>
  <c r="AC14" i="2"/>
  <c r="D45" i="1" l="1"/>
  <c r="K21" i="1"/>
  <c r="Y9" i="2"/>
  <c r="Y16" i="2" s="1"/>
  <c r="F30" i="1" s="1"/>
  <c r="F37" i="1" s="1"/>
  <c r="F38" i="1" s="1"/>
  <c r="F40" i="1" s="1"/>
  <c r="AF9" i="2"/>
  <c r="AF16" i="2" s="1"/>
  <c r="E42" i="1"/>
  <c r="AO11" i="2"/>
  <c r="AM14" i="2"/>
  <c r="AP11" i="2"/>
  <c r="AP14" i="2" s="1"/>
  <c r="AN14" i="2"/>
  <c r="AL14" i="2"/>
  <c r="L6" i="1"/>
  <c r="L9" i="1"/>
  <c r="AK3" i="2"/>
  <c r="H28" i="1"/>
  <c r="AR3" i="2"/>
  <c r="AR11" i="2"/>
  <c r="AI7" i="2"/>
  <c r="AJ7" i="2"/>
  <c r="AI14" i="2"/>
  <c r="AK11" i="2"/>
  <c r="AK14" i="2" s="1"/>
  <c r="AH9" i="2"/>
  <c r="AH16" i="2" s="1"/>
  <c r="AI5" i="2"/>
  <c r="AJ5" i="2"/>
  <c r="AE5" i="2"/>
  <c r="AE7" i="2"/>
  <c r="AO3" i="2"/>
  <c r="AP3" i="2"/>
  <c r="AL5" i="2"/>
  <c r="AL7" i="2"/>
  <c r="K11" i="1"/>
  <c r="K31" i="1"/>
  <c r="AC16" i="2"/>
  <c r="J23" i="1"/>
  <c r="AG9" i="2"/>
  <c r="AG16" i="2" s="1"/>
  <c r="G35" i="1"/>
  <c r="G34" i="1"/>
  <c r="G33" i="1"/>
  <c r="Z16" i="2"/>
  <c r="D48" i="1"/>
  <c r="L21" i="1" l="1"/>
  <c r="H33" i="1"/>
  <c r="H34" i="1"/>
  <c r="AJ9" i="2"/>
  <c r="AJ16" i="2" s="1"/>
  <c r="H35" i="1"/>
  <c r="AM9" i="2"/>
  <c r="AM16" i="2" s="1"/>
  <c r="AN9" i="2"/>
  <c r="AN16" i="2" s="1"/>
  <c r="AE9" i="2"/>
  <c r="AE16" i="2" s="1"/>
  <c r="G30" i="1" s="1"/>
  <c r="G37" i="1" s="1"/>
  <c r="G38" i="1" s="1"/>
  <c r="G40" i="1" s="1"/>
  <c r="AK5" i="2"/>
  <c r="F42" i="1"/>
  <c r="AX3" i="2"/>
  <c r="AX11" i="2"/>
  <c r="I27" i="1"/>
  <c r="AK7" i="2"/>
  <c r="AQ11" i="2"/>
  <c r="AQ14" i="2" s="1"/>
  <c r="AO14" i="2"/>
  <c r="AQ3" i="2"/>
  <c r="AU11" i="2"/>
  <c r="AV11" i="2"/>
  <c r="AV14" i="2" s="1"/>
  <c r="AR14" i="2"/>
  <c r="AS14" i="2"/>
  <c r="AT14" i="2"/>
  <c r="D49" i="1"/>
  <c r="K23" i="1"/>
  <c r="AO7" i="2"/>
  <c r="AP7" i="2"/>
  <c r="AU3" i="2"/>
  <c r="AV3" i="2"/>
  <c r="AR5" i="2"/>
  <c r="AR7" i="2"/>
  <c r="AI9" i="2"/>
  <c r="AI16" i="2" s="1"/>
  <c r="L11" i="1"/>
  <c r="L31" i="1"/>
  <c r="E48" i="1"/>
  <c r="E49" i="1" s="1"/>
  <c r="E50" i="1" s="1"/>
  <c r="E51" i="1" s="1"/>
  <c r="AL9" i="2"/>
  <c r="AO5" i="2"/>
  <c r="AP5" i="2"/>
  <c r="J27" i="1"/>
  <c r="M6" i="1"/>
  <c r="M9" i="1"/>
  <c r="E45" i="1"/>
  <c r="M21" i="1" l="1"/>
  <c r="F45" i="1"/>
  <c r="AK9" i="2"/>
  <c r="AK16" i="2" s="1"/>
  <c r="H30" i="1" s="1"/>
  <c r="H37" i="1" s="1"/>
  <c r="AT9" i="2"/>
  <c r="AT16" i="2" s="1"/>
  <c r="AP9" i="2"/>
  <c r="AP16" i="2" s="1"/>
  <c r="G42" i="1"/>
  <c r="J28" i="1"/>
  <c r="I33" i="1"/>
  <c r="I34" i="1"/>
  <c r="I35" i="1"/>
  <c r="AL16" i="2"/>
  <c r="AU7" i="2"/>
  <c r="AV7" i="2"/>
  <c r="D50" i="1"/>
  <c r="BA3" i="2"/>
  <c r="BB3" i="2"/>
  <c r="AX5" i="2"/>
  <c r="AX7" i="2"/>
  <c r="F48" i="1"/>
  <c r="F49" i="1" s="1"/>
  <c r="M11" i="1"/>
  <c r="M31" i="1"/>
  <c r="BD3" i="2"/>
  <c r="BD11" i="2"/>
  <c r="AU5" i="2"/>
  <c r="AV5" i="2"/>
  <c r="AQ7" i="2"/>
  <c r="I28" i="1"/>
  <c r="K27" i="1"/>
  <c r="AS9" i="2"/>
  <c r="AS16" i="2" s="1"/>
  <c r="AU14" i="2"/>
  <c r="AW11" i="2"/>
  <c r="AW14" i="2" s="1"/>
  <c r="N6" i="1"/>
  <c r="O6" i="1" s="1"/>
  <c r="N9" i="1"/>
  <c r="AQ5" i="2"/>
  <c r="L23" i="1"/>
  <c r="AR9" i="2"/>
  <c r="AW3" i="2"/>
  <c r="AO9" i="2"/>
  <c r="AO16" i="2" s="1"/>
  <c r="BA11" i="2"/>
  <c r="AY14" i="2"/>
  <c r="BB11" i="2"/>
  <c r="BB14" i="2" s="1"/>
  <c r="AZ14" i="2"/>
  <c r="AX14" i="2"/>
  <c r="G45" i="1" l="1"/>
  <c r="N21" i="1"/>
  <c r="O21" i="1" s="1"/>
  <c r="AV9" i="2"/>
  <c r="AV16" i="2" s="1"/>
  <c r="AQ9" i="2"/>
  <c r="AQ16" i="2" s="1"/>
  <c r="I30" i="1" s="1"/>
  <c r="I37" i="1" s="1"/>
  <c r="I38" i="1" s="1"/>
  <c r="I40" i="1" s="1"/>
  <c r="I42" i="1" s="1"/>
  <c r="AU9" i="2"/>
  <c r="AU16" i="2" s="1"/>
  <c r="BG3" i="2"/>
  <c r="BH3" i="2"/>
  <c r="BD5" i="2"/>
  <c r="BD7" i="2"/>
  <c r="BJ3" i="2"/>
  <c r="BJ11" i="2"/>
  <c r="BA7" i="2"/>
  <c r="BB7" i="2"/>
  <c r="N11" i="1"/>
  <c r="N31" i="1"/>
  <c r="O31" i="1" s="1"/>
  <c r="O9" i="1"/>
  <c r="L27" i="1"/>
  <c r="AX9" i="2"/>
  <c r="BA5" i="2"/>
  <c r="BB5" i="2"/>
  <c r="AW7" i="2"/>
  <c r="BC11" i="2"/>
  <c r="BC14" i="2" s="1"/>
  <c r="BA14" i="2"/>
  <c r="J33" i="1"/>
  <c r="J35" i="1"/>
  <c r="J34" i="1"/>
  <c r="AR16" i="2"/>
  <c r="AW5" i="2"/>
  <c r="AZ9" i="2"/>
  <c r="AZ16" i="2" s="1"/>
  <c r="D51" i="1"/>
  <c r="G48" i="1"/>
  <c r="H38" i="1"/>
  <c r="H40" i="1" s="1"/>
  <c r="K28" i="1"/>
  <c r="BG11" i="2"/>
  <c r="BH11" i="2"/>
  <c r="BH14" i="2" s="1"/>
  <c r="BD14" i="2"/>
  <c r="BE14" i="2"/>
  <c r="BF14" i="2"/>
  <c r="M23" i="1"/>
  <c r="F50" i="1"/>
  <c r="F51" i="1" s="1"/>
  <c r="AY9" i="2"/>
  <c r="AY16" i="2" s="1"/>
  <c r="BC3" i="2"/>
  <c r="BA9" i="2" l="1"/>
  <c r="BA16" i="2" s="1"/>
  <c r="AW9" i="2"/>
  <c r="AW16" i="2" s="1"/>
  <c r="J30" i="1" s="1"/>
  <c r="J37" i="1" s="1"/>
  <c r="J38" i="1" s="1"/>
  <c r="J40" i="1" s="1"/>
  <c r="J42" i="1" s="1"/>
  <c r="BB9" i="2"/>
  <c r="BB16" i="2" s="1"/>
  <c r="I48" i="1"/>
  <c r="I49" i="1" s="1"/>
  <c r="I50" i="1" s="1"/>
  <c r="I51" i="1" s="1"/>
  <c r="M27" i="1"/>
  <c r="BG7" i="2"/>
  <c r="BH7" i="2"/>
  <c r="H42" i="1"/>
  <c r="BC5" i="2"/>
  <c r="BP3" i="2"/>
  <c r="BP11" i="2"/>
  <c r="BC7" i="2"/>
  <c r="BF9" i="2"/>
  <c r="BF16" i="2" s="1"/>
  <c r="BG5" i="2"/>
  <c r="BG9" i="2" s="1"/>
  <c r="BH5" i="2"/>
  <c r="BG14" i="2"/>
  <c r="BI11" i="2"/>
  <c r="BI14" i="2" s="1"/>
  <c r="K35" i="1"/>
  <c r="K34" i="1"/>
  <c r="K33" i="1"/>
  <c r="AX16" i="2"/>
  <c r="BM11" i="2"/>
  <c r="BK14" i="2"/>
  <c r="BN11" i="2"/>
  <c r="BN14" i="2" s="1"/>
  <c r="BL14" i="2"/>
  <c r="BJ14" i="2"/>
  <c r="BE9" i="2"/>
  <c r="BE16" i="2" s="1"/>
  <c r="G49" i="1"/>
  <c r="L28" i="1"/>
  <c r="N23" i="1"/>
  <c r="O23" i="1" s="1"/>
  <c r="O11" i="1"/>
  <c r="BM3" i="2"/>
  <c r="BN3" i="2"/>
  <c r="BJ5" i="2"/>
  <c r="BJ7" i="2"/>
  <c r="BD9" i="2"/>
  <c r="BI3" i="2"/>
  <c r="BK9" i="2" l="1"/>
  <c r="BK16" i="2" s="1"/>
  <c r="BG16" i="2"/>
  <c r="BH9" i="2"/>
  <c r="BH16" i="2" s="1"/>
  <c r="BC9" i="2"/>
  <c r="BC16" i="2" s="1"/>
  <c r="K30" i="1" s="1"/>
  <c r="K37" i="1" s="1"/>
  <c r="K38" i="1" s="1"/>
  <c r="K40" i="1" s="1"/>
  <c r="K42" i="1" s="1"/>
  <c r="BJ9" i="2"/>
  <c r="BJ16" i="2" s="1"/>
  <c r="BI7" i="2"/>
  <c r="J48" i="1"/>
  <c r="J49" i="1" s="1"/>
  <c r="J50" i="1" s="1"/>
  <c r="J51" i="1" s="1"/>
  <c r="BS11" i="2"/>
  <c r="BT11" i="2"/>
  <c r="BT14" i="2" s="1"/>
  <c r="BP14" i="2"/>
  <c r="BQ14" i="2"/>
  <c r="BR14" i="2"/>
  <c r="BM5" i="2"/>
  <c r="BN5" i="2"/>
  <c r="BO11" i="2"/>
  <c r="BO14" i="2" s="1"/>
  <c r="BM14" i="2"/>
  <c r="BI5" i="2"/>
  <c r="BS3" i="2"/>
  <c r="BT3" i="2"/>
  <c r="BP5" i="2"/>
  <c r="BP7" i="2"/>
  <c r="H48" i="1"/>
  <c r="H45" i="1"/>
  <c r="I45" i="1" s="1"/>
  <c r="J45" i="1" s="1"/>
  <c r="M28" i="1"/>
  <c r="L34" i="1"/>
  <c r="L35" i="1"/>
  <c r="L33" i="1"/>
  <c r="BD16" i="2"/>
  <c r="BM7" i="2"/>
  <c r="BN7" i="2"/>
  <c r="BN9" i="2" s="1"/>
  <c r="BN16" i="2" s="1"/>
  <c r="G50" i="1"/>
  <c r="BL9" i="2"/>
  <c r="BL16" i="2" s="1"/>
  <c r="BO3" i="2"/>
  <c r="BM9" i="2" l="1"/>
  <c r="BI9" i="2"/>
  <c r="BI16" i="2" s="1"/>
  <c r="L30" i="1" s="1"/>
  <c r="L37" i="1" s="1"/>
  <c r="L38" i="1" s="1"/>
  <c r="L40" i="1" s="1"/>
  <c r="L42" i="1" s="1"/>
  <c r="M33" i="1"/>
  <c r="BM16" i="2"/>
  <c r="M35" i="1"/>
  <c r="BO5" i="2"/>
  <c r="BR9" i="2"/>
  <c r="BR16" i="2" s="1"/>
  <c r="M34" i="1"/>
  <c r="K48" i="1"/>
  <c r="K49" i="1" s="1"/>
  <c r="K50" i="1" s="1"/>
  <c r="K51" i="1" s="1"/>
  <c r="G51" i="1"/>
  <c r="BS7" i="2"/>
  <c r="BT7" i="2"/>
  <c r="K45" i="1"/>
  <c r="BS5" i="2"/>
  <c r="BT5" i="2"/>
  <c r="BS14" i="2"/>
  <c r="BU11" i="2"/>
  <c r="BU14" i="2" s="1"/>
  <c r="BQ9" i="2"/>
  <c r="BQ16" i="2" s="1"/>
  <c r="N27" i="1"/>
  <c r="O15" i="1"/>
  <c r="O27" i="1" s="1"/>
  <c r="BO7" i="2"/>
  <c r="H49" i="1"/>
  <c r="BP9" i="2"/>
  <c r="BU3" i="2"/>
  <c r="BO9" i="2" l="1"/>
  <c r="BO16" i="2" s="1"/>
  <c r="M30" i="1" s="1"/>
  <c r="M37" i="1" s="1"/>
  <c r="M38" i="1" s="1"/>
  <c r="M40" i="1" s="1"/>
  <c r="M42" i="1" s="1"/>
  <c r="BT9" i="2"/>
  <c r="BT16" i="2" s="1"/>
  <c r="BS9" i="2"/>
  <c r="BS16" i="2" s="1"/>
  <c r="BU7" i="2"/>
  <c r="L48" i="1"/>
  <c r="N28" i="1"/>
  <c r="N33" i="1"/>
  <c r="O33" i="1" s="1"/>
  <c r="N35" i="1"/>
  <c r="O35" i="1" s="1"/>
  <c r="N34" i="1"/>
  <c r="O34" i="1" s="1"/>
  <c r="BP16" i="2"/>
  <c r="BU5" i="2"/>
  <c r="H50" i="1"/>
  <c r="L45" i="1"/>
  <c r="BU9" i="2" l="1"/>
  <c r="BU16" i="2" s="1"/>
  <c r="N30" i="1" s="1"/>
  <c r="N37" i="1" s="1"/>
  <c r="O37" i="1" s="1"/>
  <c r="M48" i="1"/>
  <c r="M49" i="1" s="1"/>
  <c r="M50" i="1" s="1"/>
  <c r="O30" i="1"/>
  <c r="H51" i="1"/>
  <c r="M45" i="1"/>
  <c r="L49" i="1"/>
  <c r="L50" i="1" s="1"/>
  <c r="L51" i="1" s="1"/>
  <c r="M51" i="1" l="1"/>
  <c r="N38" i="1"/>
  <c r="N40" i="1" s="1"/>
  <c r="O38" i="1"/>
  <c r="N42" i="1" l="1"/>
  <c r="O40" i="1"/>
  <c r="N48" i="1" l="1"/>
  <c r="O42" i="1"/>
  <c r="N45" i="1"/>
  <c r="N49" i="1" l="1"/>
  <c r="O48" i="1"/>
  <c r="O49" i="1" l="1"/>
  <c r="N50" i="1"/>
  <c r="N51" i="1" l="1"/>
  <c r="O50" i="1"/>
  <c r="O51" i="1" s="1"/>
</calcChain>
</file>

<file path=xl/sharedStrings.xml><?xml version="1.0" encoding="utf-8"?>
<sst xmlns="http://schemas.openxmlformats.org/spreadsheetml/2006/main" count="167" uniqueCount="88">
  <si>
    <t>Показатель</t>
  </si>
  <si>
    <t>Месяц 1</t>
  </si>
  <si>
    <t>Месяц 2</t>
  </si>
  <si>
    <t>Месяц 3</t>
  </si>
  <si>
    <t>Месяц 4</t>
  </si>
  <si>
    <t>Месяц 5</t>
  </si>
  <si>
    <t>Месяц 6</t>
  </si>
  <si>
    <t>Месяц 7</t>
  </si>
  <si>
    <t>Месяц 8</t>
  </si>
  <si>
    <t>Месяц 9</t>
  </si>
  <si>
    <t>Месяц 10</t>
  </si>
  <si>
    <t>Месяц 11</t>
  </si>
  <si>
    <t>Месяц 12</t>
  </si>
  <si>
    <t>За год</t>
  </si>
  <si>
    <t>Конверсия в потенциального клиента из визита</t>
  </si>
  <si>
    <t>% оттока клиентов за месяц</t>
  </si>
  <si>
    <t>Клиентская база</t>
  </si>
  <si>
    <t>Конверсия из потенциального клиента в оплату</t>
  </si>
  <si>
    <t>% покупок накопленной базы</t>
  </si>
  <si>
    <t>Количество оплат общее</t>
  </si>
  <si>
    <t>Выручка</t>
  </si>
  <si>
    <t>Налоги</t>
  </si>
  <si>
    <t>Стоимость перехода на сайт</t>
  </si>
  <si>
    <t>Расходы на рекламу</t>
  </si>
  <si>
    <t>Переменные расходы</t>
  </si>
  <si>
    <t>% Переменных расходов в выручке</t>
  </si>
  <si>
    <t>Расходы на персонал</t>
  </si>
  <si>
    <t>Раходы на колцентр</t>
  </si>
  <si>
    <t>Бух. Обслуживание</t>
  </si>
  <si>
    <t>Аренда офиса</t>
  </si>
  <si>
    <t>Хоз. Расходы</t>
  </si>
  <si>
    <t>Оборудование рабочих мест</t>
  </si>
  <si>
    <t>Софт(CRM, calltouch, taskmanager,smartresponder)</t>
  </si>
  <si>
    <t>Непредвиденные расходы</t>
  </si>
  <si>
    <t>Постоянные расходы</t>
  </si>
  <si>
    <t>Расходы</t>
  </si>
  <si>
    <t>Денежный поток</t>
  </si>
  <si>
    <t>Сумма вложений за месяц</t>
  </si>
  <si>
    <t>Остаток средств на конец периода</t>
  </si>
  <si>
    <t>Общая сумма вложений нарастающим итогом</t>
  </si>
  <si>
    <t>Операционная прибыль</t>
  </si>
  <si>
    <t>Стоимость наличных</t>
  </si>
  <si>
    <t>Чистая прибыль</t>
  </si>
  <si>
    <t>Рентабельность</t>
  </si>
  <si>
    <t>Позиция</t>
  </si>
  <si>
    <t>Количество</t>
  </si>
  <si>
    <t>Бух оклад</t>
  </si>
  <si>
    <t>Упр выплата</t>
  </si>
  <si>
    <t>Ставка</t>
  </si>
  <si>
    <t>Сумма расходов</t>
  </si>
  <si>
    <t>Менеджер классов</t>
  </si>
  <si>
    <t>Закупщик</t>
  </si>
  <si>
    <t>Руководитель менеджеров</t>
  </si>
  <si>
    <t>Директор по продажам</t>
  </si>
  <si>
    <t>HR</t>
  </si>
  <si>
    <t>Итого в офисе</t>
  </si>
  <si>
    <t>Итого вне офиса</t>
  </si>
  <si>
    <t>Итого сотрудников</t>
  </si>
  <si>
    <t>Константа</t>
  </si>
  <si>
    <t>Значение</t>
  </si>
  <si>
    <t>Ставка налога на прибыль</t>
  </si>
  <si>
    <t>Ставка на наличные</t>
  </si>
  <si>
    <t>Подоходный налог</t>
  </si>
  <si>
    <t>Выплата в фонды</t>
  </si>
  <si>
    <t>Кол-во классов на менеджера</t>
  </si>
  <si>
    <t>Кол-во классов на доставщика</t>
  </si>
  <si>
    <t>Площадь офиса на сотрудника</t>
  </si>
  <si>
    <t>Стоимость аренды 1 м. кв. в месяц</t>
  </si>
  <si>
    <t>Расход на колцентр на 1 клиента</t>
  </si>
  <si>
    <t>Хоз. Расходы на сотрудника</t>
  </si>
  <si>
    <t>Стоимость оборудования рабочего места</t>
  </si>
  <si>
    <t>Процент непредвиденных расходов</t>
  </si>
  <si>
    <t>Количество менеджеров на руководителя</t>
  </si>
  <si>
    <t>Количество менеджеров на HR</t>
  </si>
  <si>
    <t>Количество классов на площадке</t>
  </si>
  <si>
    <t>Количество дней мероприятий в месяц</t>
  </si>
  <si>
    <t>Процент годового оттока клиентов</t>
  </si>
  <si>
    <t>Количество новых покупателей</t>
  </si>
  <si>
    <t>Количество новых потенциальных покупателей</t>
  </si>
  <si>
    <t xml:space="preserve">Средний чек </t>
  </si>
  <si>
    <t>Расходы на оборудование</t>
  </si>
  <si>
    <t>Стоимость 1 месяца аренды площадки</t>
  </si>
  <si>
    <t>Количество рабочих часов</t>
  </si>
  <si>
    <t>Выплата сборщику за смену</t>
  </si>
  <si>
    <t>Расходы на сборщика</t>
  </si>
  <si>
    <t>Количество цехов</t>
  </si>
  <si>
    <t xml:space="preserve">Количество смен </t>
  </si>
  <si>
    <t>Сборщик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</si>
</sst>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#,##0&quot;р.&quot;"/>
    <numFmt numFmtId="166" formatCode="_-* #,##0\ [$₽-419]_-;\-* #,##0\ [$₽-419]_-;_-* \-??\ [$₽-419]_-;_-@_-"/>
    <numFmt numFmtId="167" formatCode="_-* #,##0.00&quot;р.&quot;_-;\-* #,##0.00&quot;р.&quot;_-;_-* \-??&quot;р.&quot;_-;_-@_-"/>
  </numFmts>
  <fonts count="6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22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3" fillId="0" borderId="0"/>
    <xf numFmtId="9" fontId="3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4" fillId="3" borderId="1" xfId="0" applyFont="1" applyFill="1" applyBorder="1"/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9" fontId="0" fillId="0" borderId="1" xfId="2" applyFont="1" applyBorder="1" applyAlignment="1" applyProtection="1"/>
    <xf numFmtId="3" fontId="0" fillId="2" borderId="1" xfId="0" applyNumberFormat="1" applyFill="1" applyBorder="1"/>
    <xf numFmtId="164" fontId="0" fillId="0" borderId="1" xfId="2" applyNumberFormat="1" applyFont="1" applyBorder="1" applyAlignment="1" applyProtection="1"/>
    <xf numFmtId="165" fontId="0" fillId="0" borderId="1" xfId="0" applyNumberFormat="1" applyBorder="1"/>
    <xf numFmtId="0" fontId="2" fillId="4" borderId="1" xfId="0" applyFont="1" applyFill="1" applyBorder="1"/>
    <xf numFmtId="165" fontId="2" fillId="5" borderId="1" xfId="0" applyNumberFormat="1" applyFont="1" applyFill="1" applyBorder="1"/>
    <xf numFmtId="166" fontId="0" fillId="0" borderId="1" xfId="0" applyNumberFormat="1" applyFont="1" applyBorder="1"/>
    <xf numFmtId="166" fontId="0" fillId="2" borderId="1" xfId="0" applyNumberFormat="1" applyFont="1" applyFill="1" applyBorder="1"/>
    <xf numFmtId="165" fontId="0" fillId="0" borderId="1" xfId="0" applyNumberFormat="1" applyFont="1" applyBorder="1"/>
    <xf numFmtId="0" fontId="0" fillId="0" borderId="1" xfId="0" applyFont="1" applyBorder="1"/>
    <xf numFmtId="165" fontId="0" fillId="2" borderId="1" xfId="0" applyNumberFormat="1" applyFont="1" applyFill="1" applyBorder="1"/>
    <xf numFmtId="166" fontId="0" fillId="0" borderId="1" xfId="0" applyNumberFormat="1" applyBorder="1"/>
    <xf numFmtId="0" fontId="1" fillId="0" borderId="1" xfId="0" applyFont="1" applyBorder="1"/>
    <xf numFmtId="165" fontId="1" fillId="2" borderId="1" xfId="0" applyNumberFormat="1" applyFont="1" applyFill="1" applyBorder="1"/>
    <xf numFmtId="9" fontId="1" fillId="2" borderId="1" xfId="2" applyFont="1" applyFill="1" applyBorder="1" applyAlignment="1" applyProtection="1"/>
    <xf numFmtId="9" fontId="1" fillId="0" borderId="1" xfId="2" applyFont="1" applyBorder="1" applyAlignment="1" applyProtection="1"/>
    <xf numFmtId="166" fontId="1" fillId="0" borderId="1" xfId="0" applyNumberFormat="1" applyFont="1" applyBorder="1"/>
    <xf numFmtId="166" fontId="0" fillId="0" borderId="1" xfId="1" applyNumberFormat="1" applyFont="1" applyBorder="1" applyAlignment="1" applyProtection="1"/>
    <xf numFmtId="0" fontId="2" fillId="0" borderId="1" xfId="0" applyFont="1" applyBorder="1"/>
    <xf numFmtId="166" fontId="2" fillId="2" borderId="1" xfId="0" applyNumberFormat="1" applyFont="1" applyFill="1" applyBorder="1"/>
    <xf numFmtId="166" fontId="0" fillId="2" borderId="1" xfId="1" applyNumberFormat="1" applyFont="1" applyFill="1" applyBorder="1" applyAlignment="1" applyProtection="1"/>
    <xf numFmtId="165" fontId="0" fillId="2" borderId="1" xfId="0" applyNumberFormat="1" applyFill="1" applyBorder="1"/>
    <xf numFmtId="0" fontId="1" fillId="4" borderId="1" xfId="0" applyFont="1" applyFill="1" applyBorder="1"/>
    <xf numFmtId="164" fontId="2" fillId="5" borderId="1" xfId="2" applyNumberFormat="1" applyFont="1" applyFill="1" applyBorder="1" applyAlignment="1" applyProtection="1"/>
    <xf numFmtId="0" fontId="0" fillId="0" borderId="1" xfId="0" applyBorder="1" applyAlignment="1">
      <alignment horizontal="left" indent="3"/>
    </xf>
    <xf numFmtId="0" fontId="2" fillId="6" borderId="1" xfId="0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6" fontId="1" fillId="4" borderId="1" xfId="0" applyNumberFormat="1" applyFont="1" applyFill="1" applyBorder="1"/>
    <xf numFmtId="9" fontId="0" fillId="0" borderId="1" xfId="0" applyNumberFormat="1" applyBorder="1"/>
    <xf numFmtId="1" fontId="0" fillId="0" borderId="1" xfId="2" applyNumberFormat="1" applyFont="1" applyBorder="1" applyAlignment="1" applyProtection="1"/>
    <xf numFmtId="166" fontId="0" fillId="0" borderId="1" xfId="2" applyNumberFormat="1" applyFont="1" applyBorder="1" applyAlignment="1" applyProtection="1"/>
    <xf numFmtId="0" fontId="2" fillId="6" borderId="1" xfId="0" applyFont="1" applyFill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pane xSplit="1" ySplit="1" topLeftCell="C23" activePane="bottomRight" state="frozen"/>
      <selection pane="topRight" activeCell="B1" sqref="B1"/>
      <selection pane="bottomLeft" activeCell="A2" sqref="A2"/>
      <selection pane="bottomRight" activeCell="I16" sqref="I16"/>
    </sheetView>
  </sheetViews>
  <sheetFormatPr defaultColWidth="8.7109375" defaultRowHeight="15" outlineLevelRow="2" x14ac:dyDescent="0.25"/>
  <cols>
    <col min="1" max="1" width="49.7109375" bestFit="1" customWidth="1"/>
    <col min="2" max="2" width="2.42578125" customWidth="1"/>
    <col min="3" max="8" width="16.28515625" customWidth="1"/>
    <col min="9" max="14" width="17.85546875" customWidth="1"/>
    <col min="15" max="15" width="19.28515625" customWidth="1"/>
  </cols>
  <sheetData>
    <row r="1" spans="1:15" ht="21" x14ac:dyDescent="0.35">
      <c r="A1" s="2" t="s">
        <v>0</v>
      </c>
      <c r="B1" s="3"/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</row>
    <row r="2" spans="1:15" outlineLevel="1" x14ac:dyDescent="0.25">
      <c r="A2" s="31" t="s">
        <v>77</v>
      </c>
      <c r="B2" s="5"/>
      <c r="C2" s="6">
        <v>2000</v>
      </c>
      <c r="D2" s="6">
        <v>2500</v>
      </c>
      <c r="E2" s="6">
        <v>3000</v>
      </c>
      <c r="F2" s="6">
        <v>3500</v>
      </c>
      <c r="G2" s="6">
        <v>4500</v>
      </c>
      <c r="H2" s="6">
        <v>5000</v>
      </c>
      <c r="I2" s="6">
        <v>5500</v>
      </c>
      <c r="J2" s="6">
        <v>6000</v>
      </c>
      <c r="K2" s="6">
        <v>6500</v>
      </c>
      <c r="L2" s="6">
        <v>7000</v>
      </c>
      <c r="M2" s="6">
        <v>8000</v>
      </c>
      <c r="N2" s="6">
        <v>9000</v>
      </c>
      <c r="O2" s="6">
        <f t="shared" ref="O2:O4" si="0">SUM(D2:N2)</f>
        <v>60500</v>
      </c>
    </row>
    <row r="3" spans="1:15" outlineLevel="1" x14ac:dyDescent="0.25">
      <c r="A3" s="31" t="s">
        <v>14</v>
      </c>
      <c r="B3" s="5"/>
      <c r="C3" s="7">
        <v>0.05</v>
      </c>
      <c r="D3" s="7">
        <v>0.05</v>
      </c>
      <c r="E3" s="7">
        <v>0.05</v>
      </c>
      <c r="F3" s="7">
        <v>0.05</v>
      </c>
      <c r="G3" s="7">
        <v>0.05</v>
      </c>
      <c r="H3" s="7">
        <v>0.05</v>
      </c>
      <c r="I3" s="7">
        <v>0.05</v>
      </c>
      <c r="J3" s="7">
        <v>0.05</v>
      </c>
      <c r="K3" s="7">
        <v>0.05</v>
      </c>
      <c r="L3" s="7">
        <v>0.05</v>
      </c>
      <c r="M3" s="7">
        <v>0.05</v>
      </c>
      <c r="N3" s="7">
        <v>0.05</v>
      </c>
      <c r="O3" s="6">
        <f t="shared" si="0"/>
        <v>0.54999999999999993</v>
      </c>
    </row>
    <row r="4" spans="1:15" outlineLevel="1" x14ac:dyDescent="0.25">
      <c r="A4" s="31" t="s">
        <v>78</v>
      </c>
      <c r="B4" s="5"/>
      <c r="C4" s="8">
        <f t="shared" ref="C4:N4" si="1">C2*C3</f>
        <v>100</v>
      </c>
      <c r="D4" s="8">
        <f t="shared" si="1"/>
        <v>125</v>
      </c>
      <c r="E4" s="8">
        <f t="shared" si="1"/>
        <v>150</v>
      </c>
      <c r="F4" s="8">
        <f t="shared" si="1"/>
        <v>175</v>
      </c>
      <c r="G4" s="8">
        <f t="shared" si="1"/>
        <v>225</v>
      </c>
      <c r="H4" s="8">
        <f t="shared" si="1"/>
        <v>250</v>
      </c>
      <c r="I4" s="8">
        <f t="shared" si="1"/>
        <v>275</v>
      </c>
      <c r="J4" s="8">
        <f t="shared" si="1"/>
        <v>300</v>
      </c>
      <c r="K4" s="8">
        <f t="shared" si="1"/>
        <v>325</v>
      </c>
      <c r="L4" s="8">
        <f t="shared" si="1"/>
        <v>350</v>
      </c>
      <c r="M4" s="8">
        <f t="shared" si="1"/>
        <v>400</v>
      </c>
      <c r="N4" s="8">
        <f t="shared" si="1"/>
        <v>450</v>
      </c>
      <c r="O4" s="8">
        <f t="shared" si="0"/>
        <v>3025</v>
      </c>
    </row>
    <row r="5" spans="1:15" outlineLevel="1" x14ac:dyDescent="0.25">
      <c r="A5" s="31" t="s">
        <v>15</v>
      </c>
      <c r="B5" s="5"/>
      <c r="C5" s="9">
        <f>Константы!$B$18/12</f>
        <v>4.1666666666666664E-2</v>
      </c>
      <c r="D5" s="9">
        <f>Константы!$B$18/12</f>
        <v>4.1666666666666664E-2</v>
      </c>
      <c r="E5" s="9">
        <f>Константы!$B$18/12</f>
        <v>4.1666666666666664E-2</v>
      </c>
      <c r="F5" s="9">
        <f>Константы!$B$18/12</f>
        <v>4.1666666666666664E-2</v>
      </c>
      <c r="G5" s="9">
        <f>Константы!$B$18/12</f>
        <v>4.1666666666666664E-2</v>
      </c>
      <c r="H5" s="9">
        <f>Константы!$B$18/12</f>
        <v>4.1666666666666664E-2</v>
      </c>
      <c r="I5" s="9">
        <f>Константы!$B$18/12</f>
        <v>4.1666666666666664E-2</v>
      </c>
      <c r="J5" s="9">
        <f>Константы!$B$18/12</f>
        <v>4.1666666666666664E-2</v>
      </c>
      <c r="K5" s="9">
        <f>Константы!$B$18/12</f>
        <v>4.1666666666666664E-2</v>
      </c>
      <c r="L5" s="9">
        <f>Константы!$B$18/12</f>
        <v>4.1666666666666664E-2</v>
      </c>
      <c r="M5" s="9">
        <f>Константы!$B$18/12</f>
        <v>4.1666666666666664E-2</v>
      </c>
      <c r="N5" s="9">
        <f>Константы!$B$18/12</f>
        <v>4.1666666666666664E-2</v>
      </c>
      <c r="O5" s="6"/>
    </row>
    <row r="6" spans="1:15" outlineLevel="1" x14ac:dyDescent="0.25">
      <c r="A6" s="31" t="s">
        <v>16</v>
      </c>
      <c r="B6" s="5"/>
      <c r="C6" s="8">
        <f>B6*C5+C4</f>
        <v>100</v>
      </c>
      <c r="D6" s="8">
        <f t="shared" ref="D6:N6" si="2">C6*(1-D5)+D4</f>
        <v>220.83333333333334</v>
      </c>
      <c r="E6" s="8">
        <f t="shared" si="2"/>
        <v>361.63194444444446</v>
      </c>
      <c r="F6" s="8">
        <f t="shared" si="2"/>
        <v>521.56394675925935</v>
      </c>
      <c r="G6" s="8">
        <f t="shared" si="2"/>
        <v>724.8321156442903</v>
      </c>
      <c r="H6" s="8">
        <f t="shared" si="2"/>
        <v>944.63077749244485</v>
      </c>
      <c r="I6" s="8">
        <f t="shared" si="2"/>
        <v>1180.271161763593</v>
      </c>
      <c r="J6" s="8">
        <f t="shared" si="2"/>
        <v>1431.0931966901101</v>
      </c>
      <c r="K6" s="8">
        <f t="shared" si="2"/>
        <v>1696.4643134946889</v>
      </c>
      <c r="L6" s="8">
        <f t="shared" si="2"/>
        <v>1975.7783004324103</v>
      </c>
      <c r="M6" s="8">
        <f t="shared" si="2"/>
        <v>2293.4542045810599</v>
      </c>
      <c r="N6" s="8">
        <f t="shared" si="2"/>
        <v>2647.8936127235156</v>
      </c>
      <c r="O6" s="8">
        <f>SUM(D6:N6)</f>
        <v>13998.44690735915</v>
      </c>
    </row>
    <row r="7" spans="1:15" outlineLevel="1" x14ac:dyDescent="0.25">
      <c r="A7" s="31" t="s">
        <v>17</v>
      </c>
      <c r="B7" s="5"/>
      <c r="C7" s="7">
        <v>0.5</v>
      </c>
      <c r="D7" s="7">
        <v>0.5</v>
      </c>
      <c r="E7" s="7">
        <v>0.5</v>
      </c>
      <c r="F7" s="7">
        <v>0.5</v>
      </c>
      <c r="G7" s="7">
        <v>0.5</v>
      </c>
      <c r="H7" s="7">
        <v>0.5</v>
      </c>
      <c r="I7" s="7">
        <v>0.5</v>
      </c>
      <c r="J7" s="7">
        <v>0.5</v>
      </c>
      <c r="K7" s="7">
        <v>0.5</v>
      </c>
      <c r="L7" s="7">
        <v>0.5</v>
      </c>
      <c r="M7" s="7">
        <v>0.5</v>
      </c>
      <c r="N7" s="7">
        <v>0.5</v>
      </c>
      <c r="O7" s="6"/>
    </row>
    <row r="8" spans="1:15" outlineLevel="1" x14ac:dyDescent="0.25">
      <c r="A8" s="31" t="s">
        <v>18</v>
      </c>
      <c r="B8" s="5"/>
      <c r="C8" s="7">
        <v>0.2</v>
      </c>
      <c r="D8" s="7">
        <f t="shared" ref="D8:N8" si="3">$C$8</f>
        <v>0.2</v>
      </c>
      <c r="E8" s="7">
        <f t="shared" si="3"/>
        <v>0.2</v>
      </c>
      <c r="F8" s="7">
        <f t="shared" si="3"/>
        <v>0.2</v>
      </c>
      <c r="G8" s="7">
        <f t="shared" si="3"/>
        <v>0.2</v>
      </c>
      <c r="H8" s="7">
        <f t="shared" si="3"/>
        <v>0.2</v>
      </c>
      <c r="I8" s="7">
        <f t="shared" si="3"/>
        <v>0.2</v>
      </c>
      <c r="J8" s="7">
        <f t="shared" si="3"/>
        <v>0.2</v>
      </c>
      <c r="K8" s="7">
        <f t="shared" si="3"/>
        <v>0.2</v>
      </c>
      <c r="L8" s="7">
        <f t="shared" si="3"/>
        <v>0.2</v>
      </c>
      <c r="M8" s="7">
        <f t="shared" si="3"/>
        <v>0.2</v>
      </c>
      <c r="N8" s="7">
        <f t="shared" si="3"/>
        <v>0.2</v>
      </c>
      <c r="O8" s="6"/>
    </row>
    <row r="9" spans="1:15" outlineLevel="1" x14ac:dyDescent="0.25">
      <c r="A9" s="31" t="s">
        <v>19</v>
      </c>
      <c r="B9" s="5"/>
      <c r="C9" s="8">
        <f>C4*C7+B6*C8</f>
        <v>50</v>
      </c>
      <c r="D9" s="8">
        <f t="shared" ref="D9:N9" si="4">D4*D7+C6*D8</f>
        <v>82.5</v>
      </c>
      <c r="E9" s="8">
        <f t="shared" si="4"/>
        <v>119.16666666666667</v>
      </c>
      <c r="F9" s="8">
        <f t="shared" si="4"/>
        <v>159.82638888888891</v>
      </c>
      <c r="G9" s="8">
        <f t="shared" si="4"/>
        <v>216.81278935185188</v>
      </c>
      <c r="H9" s="8">
        <f t="shared" si="4"/>
        <v>269.96642312885808</v>
      </c>
      <c r="I9" s="8">
        <f t="shared" si="4"/>
        <v>326.42615549848898</v>
      </c>
      <c r="J9" s="8">
        <f t="shared" si="4"/>
        <v>386.0542323527186</v>
      </c>
      <c r="K9" s="8">
        <f t="shared" si="4"/>
        <v>448.718639338022</v>
      </c>
      <c r="L9" s="8">
        <f t="shared" si="4"/>
        <v>514.29286269893782</v>
      </c>
      <c r="M9" s="8">
        <f t="shared" si="4"/>
        <v>595.15566008648216</v>
      </c>
      <c r="N9" s="8">
        <f t="shared" si="4"/>
        <v>683.69084091621198</v>
      </c>
      <c r="O9" s="8">
        <f>SUM(D9:N9)</f>
        <v>3802.6106589271271</v>
      </c>
    </row>
    <row r="10" spans="1:15" outlineLevel="1" x14ac:dyDescent="0.25">
      <c r="A10" s="31" t="s">
        <v>79</v>
      </c>
      <c r="B10" s="5"/>
      <c r="C10" s="10">
        <v>4500</v>
      </c>
      <c r="D10" s="10">
        <f t="shared" ref="D10:N10" si="5">$C$10</f>
        <v>4500</v>
      </c>
      <c r="E10" s="10">
        <f t="shared" si="5"/>
        <v>4500</v>
      </c>
      <c r="F10" s="10">
        <f t="shared" si="5"/>
        <v>4500</v>
      </c>
      <c r="G10" s="10">
        <f t="shared" si="5"/>
        <v>4500</v>
      </c>
      <c r="H10" s="10">
        <f t="shared" si="5"/>
        <v>4500</v>
      </c>
      <c r="I10" s="10">
        <f t="shared" si="5"/>
        <v>4500</v>
      </c>
      <c r="J10" s="10">
        <f t="shared" si="5"/>
        <v>4500</v>
      </c>
      <c r="K10" s="10">
        <f t="shared" si="5"/>
        <v>4500</v>
      </c>
      <c r="L10" s="10">
        <f t="shared" si="5"/>
        <v>4500</v>
      </c>
      <c r="M10" s="10">
        <f t="shared" si="5"/>
        <v>4500</v>
      </c>
      <c r="N10" s="10">
        <f t="shared" si="5"/>
        <v>4500</v>
      </c>
      <c r="O10" s="10"/>
    </row>
    <row r="11" spans="1:15" ht="18.75" x14ac:dyDescent="0.3">
      <c r="A11" s="11" t="s">
        <v>20</v>
      </c>
      <c r="B11" s="11"/>
      <c r="C11" s="12">
        <f t="shared" ref="C11:N11" si="6">C9*C10</f>
        <v>225000</v>
      </c>
      <c r="D11" s="12">
        <f t="shared" si="6"/>
        <v>371250</v>
      </c>
      <c r="E11" s="12">
        <f t="shared" si="6"/>
        <v>536250</v>
      </c>
      <c r="F11" s="12">
        <f t="shared" si="6"/>
        <v>719218.75000000012</v>
      </c>
      <c r="G11" s="12">
        <f t="shared" si="6"/>
        <v>975657.55208333349</v>
      </c>
      <c r="H11" s="12">
        <f t="shared" si="6"/>
        <v>1214848.9040798615</v>
      </c>
      <c r="I11" s="12">
        <f t="shared" si="6"/>
        <v>1468917.6997432003</v>
      </c>
      <c r="J11" s="12">
        <f t="shared" si="6"/>
        <v>1737244.0455872337</v>
      </c>
      <c r="K11" s="12">
        <f t="shared" si="6"/>
        <v>2019233.877021099</v>
      </c>
      <c r="L11" s="12">
        <f t="shared" si="6"/>
        <v>2314317.8821452204</v>
      </c>
      <c r="M11" s="12">
        <f t="shared" si="6"/>
        <v>2678200.4703891696</v>
      </c>
      <c r="N11" s="12">
        <f t="shared" si="6"/>
        <v>3076608.7841229541</v>
      </c>
      <c r="O11" s="12">
        <f>SUM(D11:N11)</f>
        <v>17111747.965172071</v>
      </c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outlineLevel="2" x14ac:dyDescent="0.25">
      <c r="A13" s="5" t="s">
        <v>85</v>
      </c>
      <c r="B13" s="5"/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14"/>
    </row>
    <row r="14" spans="1:15" outlineLevel="2" x14ac:dyDescent="0.25">
      <c r="A14" s="5" t="s">
        <v>81</v>
      </c>
      <c r="B14" s="5"/>
      <c r="C14" s="10">
        <v>15000</v>
      </c>
      <c r="D14" s="10">
        <v>15000</v>
      </c>
      <c r="E14" s="10">
        <v>15000</v>
      </c>
      <c r="F14" s="10">
        <v>15000</v>
      </c>
      <c r="G14" s="10">
        <v>15000</v>
      </c>
      <c r="H14" s="10">
        <v>15000</v>
      </c>
      <c r="I14" s="10">
        <v>15000</v>
      </c>
      <c r="J14" s="10">
        <v>15000</v>
      </c>
      <c r="K14" s="10">
        <v>15000</v>
      </c>
      <c r="L14" s="10">
        <v>15000</v>
      </c>
      <c r="M14" s="10">
        <v>15000</v>
      </c>
      <c r="N14" s="10">
        <v>15000</v>
      </c>
      <c r="O14" s="15"/>
    </row>
    <row r="15" spans="1:15" outlineLevel="2" x14ac:dyDescent="0.25">
      <c r="A15" s="16" t="s">
        <v>80</v>
      </c>
      <c r="B15" s="16"/>
      <c r="C15" s="17">
        <v>20000</v>
      </c>
      <c r="D15" s="17">
        <v>20000</v>
      </c>
      <c r="E15" s="17">
        <v>20000</v>
      </c>
      <c r="F15" s="17">
        <v>20000</v>
      </c>
      <c r="G15" s="17">
        <v>20000</v>
      </c>
      <c r="H15" s="17">
        <v>20000</v>
      </c>
      <c r="I15" s="17">
        <v>20000</v>
      </c>
      <c r="J15" s="17">
        <v>20000</v>
      </c>
      <c r="K15" s="17">
        <v>20000</v>
      </c>
      <c r="L15" s="17">
        <v>20000</v>
      </c>
      <c r="M15" s="17">
        <v>20000</v>
      </c>
      <c r="N15" s="17">
        <v>20000</v>
      </c>
      <c r="O15" s="17">
        <f>SUM(D15:N15)</f>
        <v>220000</v>
      </c>
    </row>
    <row r="16" spans="1:15" outlineLevel="2" x14ac:dyDescent="0.25">
      <c r="A16" s="5"/>
      <c r="B16" s="5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3"/>
    </row>
    <row r="17" spans="1:15" outlineLevel="2" x14ac:dyDescent="0.25">
      <c r="A17" s="5"/>
      <c r="B17" s="5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3"/>
    </row>
    <row r="18" spans="1:15" outlineLevel="2" x14ac:dyDescent="0.25">
      <c r="A18" s="5" t="s">
        <v>82</v>
      </c>
      <c r="B18" s="5"/>
      <c r="C18" s="6">
        <v>9</v>
      </c>
      <c r="D18" s="6">
        <v>9</v>
      </c>
      <c r="E18" s="6">
        <v>9</v>
      </c>
      <c r="F18" s="6">
        <v>9</v>
      </c>
      <c r="G18" s="6">
        <v>9</v>
      </c>
      <c r="H18" s="6">
        <v>9</v>
      </c>
      <c r="I18" s="6">
        <v>9</v>
      </c>
      <c r="J18" s="6">
        <v>9</v>
      </c>
      <c r="K18" s="6">
        <v>9</v>
      </c>
      <c r="L18" s="6">
        <v>9</v>
      </c>
      <c r="M18" s="6">
        <v>9</v>
      </c>
      <c r="N18" s="6">
        <v>9</v>
      </c>
      <c r="O18" s="13"/>
    </row>
    <row r="19" spans="1:15" outlineLevel="2" x14ac:dyDescent="0.25">
      <c r="A19" s="5" t="s">
        <v>86</v>
      </c>
      <c r="B19" s="5"/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14"/>
    </row>
    <row r="20" spans="1:15" outlineLevel="2" x14ac:dyDescent="0.25">
      <c r="A20" s="5" t="s">
        <v>83</v>
      </c>
      <c r="B20" s="5"/>
      <c r="C20" s="10">
        <v>1500</v>
      </c>
      <c r="D20" s="10">
        <v>1500</v>
      </c>
      <c r="E20" s="10">
        <v>1500</v>
      </c>
      <c r="F20" s="10">
        <v>1500</v>
      </c>
      <c r="G20" s="10">
        <v>1500</v>
      </c>
      <c r="H20" s="10">
        <v>1500</v>
      </c>
      <c r="I20" s="10">
        <v>1500</v>
      </c>
      <c r="J20" s="10">
        <v>1500</v>
      </c>
      <c r="K20" s="10">
        <v>1500</v>
      </c>
      <c r="L20" s="10">
        <v>1500</v>
      </c>
      <c r="M20" s="10">
        <v>1500</v>
      </c>
      <c r="N20" s="10">
        <v>1500</v>
      </c>
      <c r="O20" s="15"/>
    </row>
    <row r="21" spans="1:15" outlineLevel="2" x14ac:dyDescent="0.25">
      <c r="A21" s="16" t="s">
        <v>84</v>
      </c>
      <c r="B21" s="16"/>
      <c r="C21" s="17">
        <f>C19*C20</f>
        <v>1500</v>
      </c>
      <c r="D21" s="17">
        <f>D19*D20</f>
        <v>1500</v>
      </c>
      <c r="E21" s="17">
        <f>E19*E20</f>
        <v>1500</v>
      </c>
      <c r="F21" s="17">
        <f>F19*F20</f>
        <v>1500</v>
      </c>
      <c r="G21" s="17">
        <f>G19*G20</f>
        <v>1500</v>
      </c>
      <c r="H21" s="17">
        <f>H19*H20</f>
        <v>1500</v>
      </c>
      <c r="I21" s="17">
        <f>I19*I20</f>
        <v>1500</v>
      </c>
      <c r="J21" s="17">
        <f>J19*J20</f>
        <v>1500</v>
      </c>
      <c r="K21" s="17">
        <f>K19*K20</f>
        <v>1500</v>
      </c>
      <c r="L21" s="17">
        <f>L19*L20</f>
        <v>1500</v>
      </c>
      <c r="M21" s="17">
        <f>M19*M20</f>
        <v>1500</v>
      </c>
      <c r="N21" s="17">
        <f>N19*N20</f>
        <v>1500</v>
      </c>
      <c r="O21" s="17">
        <f>SUM(D21:N21)</f>
        <v>16500</v>
      </c>
    </row>
    <row r="22" spans="1:15" outlineLevel="2" x14ac:dyDescent="0.25">
      <c r="A22" s="16"/>
      <c r="B22" s="1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outlineLevel="2" x14ac:dyDescent="0.25">
      <c r="A23" s="16" t="s">
        <v>21</v>
      </c>
      <c r="B23" s="16"/>
      <c r="C23" s="17">
        <f>C11*Константы!$B$2</f>
        <v>13500</v>
      </c>
      <c r="D23" s="17">
        <f>D11*Константы!$B$2</f>
        <v>22275</v>
      </c>
      <c r="E23" s="17">
        <f>E11*Константы!$B$2</f>
        <v>32175</v>
      </c>
      <c r="F23" s="17">
        <f>F11*Константы!$B$2</f>
        <v>43153.125000000007</v>
      </c>
      <c r="G23" s="17">
        <f>G11*Константы!$B$2</f>
        <v>58539.453125000007</v>
      </c>
      <c r="H23" s="17">
        <f>H11*Константы!$B$2</f>
        <v>72890.934244791686</v>
      </c>
      <c r="I23" s="17">
        <f>I11*Константы!$B$2</f>
        <v>88135.061984592016</v>
      </c>
      <c r="J23" s="17">
        <f>J11*Константы!$B$2</f>
        <v>104234.64273523403</v>
      </c>
      <c r="K23" s="17">
        <f>K11*Константы!$B$2</f>
        <v>121154.03262126593</v>
      </c>
      <c r="L23" s="17">
        <f>L11*Константы!$B$2</f>
        <v>138859.07292871323</v>
      </c>
      <c r="M23" s="17">
        <f>M11*Константы!$B$2</f>
        <v>160692.02822335018</v>
      </c>
      <c r="N23" s="17">
        <f>N11*Константы!$B$2</f>
        <v>184596.52704737725</v>
      </c>
      <c r="O23" s="17">
        <f>SUM(D23:N23)</f>
        <v>1026704.8779103244</v>
      </c>
    </row>
    <row r="24" spans="1:15" outlineLevel="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3"/>
    </row>
    <row r="25" spans="1:15" outlineLevel="2" x14ac:dyDescent="0.25">
      <c r="A25" s="5" t="s">
        <v>22</v>
      </c>
      <c r="B25" s="5"/>
      <c r="C25" s="10">
        <v>1</v>
      </c>
      <c r="D25" s="10">
        <v>1</v>
      </c>
      <c r="E25" s="10">
        <v>1</v>
      </c>
      <c r="F25" s="10">
        <v>1</v>
      </c>
      <c r="G25" s="10">
        <v>1</v>
      </c>
      <c r="H25" s="10">
        <v>1</v>
      </c>
      <c r="I25" s="10">
        <v>1</v>
      </c>
      <c r="J25" s="10">
        <v>1</v>
      </c>
      <c r="K25" s="10">
        <v>1</v>
      </c>
      <c r="L25" s="10">
        <v>1</v>
      </c>
      <c r="M25" s="10">
        <v>1</v>
      </c>
      <c r="N25" s="10">
        <v>1</v>
      </c>
      <c r="O25" s="15"/>
    </row>
    <row r="26" spans="1:15" outlineLevel="2" x14ac:dyDescent="0.25">
      <c r="A26" s="16" t="s">
        <v>23</v>
      </c>
      <c r="B26" s="16"/>
      <c r="C26" s="17">
        <f>C2*C25</f>
        <v>2000</v>
      </c>
      <c r="D26" s="17">
        <f>D2*D25</f>
        <v>2500</v>
      </c>
      <c r="E26" s="17">
        <f>E2*E25</f>
        <v>3000</v>
      </c>
      <c r="F26" s="17">
        <f>F2*F25</f>
        <v>3500</v>
      </c>
      <c r="G26" s="17">
        <f>G2*G25</f>
        <v>4500</v>
      </c>
      <c r="H26" s="17">
        <f>H2*H25</f>
        <v>5000</v>
      </c>
      <c r="I26" s="17">
        <f>I2*I25</f>
        <v>5500</v>
      </c>
      <c r="J26" s="17">
        <f>J2*J25</f>
        <v>6000</v>
      </c>
      <c r="K26" s="17">
        <f>K2*K25</f>
        <v>6500</v>
      </c>
      <c r="L26" s="17">
        <f>L2*L25</f>
        <v>7000</v>
      </c>
      <c r="M26" s="17">
        <f>M2*M25</f>
        <v>8000</v>
      </c>
      <c r="N26" s="17">
        <f>N2*N25</f>
        <v>9000</v>
      </c>
      <c r="O26" s="17">
        <f>SUM(D26:N26)</f>
        <v>60500</v>
      </c>
    </row>
    <row r="27" spans="1:15" outlineLevel="1" x14ac:dyDescent="0.25">
      <c r="A27" s="19" t="s">
        <v>24</v>
      </c>
      <c r="B27" s="19"/>
      <c r="C27" s="20">
        <f>C15+C21+C26+C23</f>
        <v>37000</v>
      </c>
      <c r="D27" s="20">
        <f>D15+D21+D26+D23</f>
        <v>46275</v>
      </c>
      <c r="E27" s="20">
        <f>E15+E21+E26+E23</f>
        <v>56675</v>
      </c>
      <c r="F27" s="20">
        <f>F15+F21+F26+F23</f>
        <v>68153.125</v>
      </c>
      <c r="G27" s="20">
        <f>G15+G21+G26+G23</f>
        <v>84539.453125</v>
      </c>
      <c r="H27" s="20">
        <f>H15+H21+H26+H23</f>
        <v>99390.934244791686</v>
      </c>
      <c r="I27" s="20">
        <f>I15+I21+I26+I23</f>
        <v>115135.06198459202</v>
      </c>
      <c r="J27" s="20">
        <f>J15+J21+J26+J23</f>
        <v>131734.64273523403</v>
      </c>
      <c r="K27" s="20">
        <f>K15+K21+K26+K23</f>
        <v>149154.03262126591</v>
      </c>
      <c r="L27" s="20">
        <f>L15+L21+L26+L23</f>
        <v>167359.07292871323</v>
      </c>
      <c r="M27" s="20">
        <f>M15+M21+M26+M23</f>
        <v>190192.02822335018</v>
      </c>
      <c r="N27" s="20">
        <f>N15+N21+N26+N23</f>
        <v>215096.52704737725</v>
      </c>
      <c r="O27" s="20">
        <f>O15+O21+O26+O23</f>
        <v>1323704.8779103244</v>
      </c>
    </row>
    <row r="28" spans="1:15" outlineLevel="1" x14ac:dyDescent="0.25">
      <c r="A28" s="19" t="s">
        <v>25</v>
      </c>
      <c r="B28" s="19"/>
      <c r="C28" s="21">
        <f>C27/C11</f>
        <v>0.16444444444444445</v>
      </c>
      <c r="D28" s="21">
        <f>D27/D11</f>
        <v>0.12464646464646464</v>
      </c>
      <c r="E28" s="21">
        <f>E27/E11</f>
        <v>0.10568764568764569</v>
      </c>
      <c r="F28" s="21">
        <f>F27/F11</f>
        <v>9.475993917010643E-2</v>
      </c>
      <c r="G28" s="21">
        <f>G27/G11</f>
        <v>8.6648694456863351E-2</v>
      </c>
      <c r="H28" s="21">
        <f>H27/H11</f>
        <v>8.1813412277859654E-2</v>
      </c>
      <c r="I28" s="21">
        <f>I27/I11</f>
        <v>7.8380880021202137E-2</v>
      </c>
      <c r="J28" s="21">
        <f>J27/J11</f>
        <v>7.5829670028141782E-2</v>
      </c>
      <c r="K28" s="21">
        <f>K27/K11</f>
        <v>7.3866645324566035E-2</v>
      </c>
      <c r="L28" s="21">
        <f>L27/L11</f>
        <v>7.2314643645056395E-2</v>
      </c>
      <c r="M28" s="21">
        <f>M27/M11</f>
        <v>7.1014858792745023E-2</v>
      </c>
      <c r="N28" s="21">
        <f>N27/N11</f>
        <v>6.9913512617332862E-2</v>
      </c>
      <c r="O28" s="14"/>
    </row>
    <row r="29" spans="1:15" outlineLevel="1" x14ac:dyDescent="0.25">
      <c r="A29" s="19"/>
      <c r="B29" s="19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3"/>
    </row>
    <row r="30" spans="1:15" outlineLevel="2" x14ac:dyDescent="0.25">
      <c r="A30" s="16" t="s">
        <v>26</v>
      </c>
      <c r="B30" s="16"/>
      <c r="C30" s="17">
        <f>Персонал!G16</f>
        <v>325850</v>
      </c>
      <c r="D30" s="17">
        <f>Персонал!M16</f>
        <v>325850</v>
      </c>
      <c r="E30" s="17">
        <f>Персонал!S16</f>
        <v>325850</v>
      </c>
      <c r="F30" s="17">
        <f>Персонал!Y16</f>
        <v>325850</v>
      </c>
      <c r="G30" s="17">
        <f>Персонал!AE16</f>
        <v>484450</v>
      </c>
      <c r="H30" s="17">
        <f>Персонал!AK16</f>
        <v>484450</v>
      </c>
      <c r="I30" s="17">
        <f>Персонал!AQ16</f>
        <v>484450</v>
      </c>
      <c r="J30" s="17">
        <f>Персонал!AW16</f>
        <v>484450</v>
      </c>
      <c r="K30" s="17">
        <f>Персонал!BC16</f>
        <v>484450</v>
      </c>
      <c r="L30" s="17">
        <f>Персонал!BI16</f>
        <v>484450</v>
      </c>
      <c r="M30" s="17">
        <f>Персонал!BO16</f>
        <v>484450</v>
      </c>
      <c r="N30" s="17">
        <f>Персонал!BU16</f>
        <v>484450</v>
      </c>
      <c r="O30" s="17">
        <f t="shared" ref="O30:O37" si="7">SUM(D30:N30)</f>
        <v>4853150</v>
      </c>
    </row>
    <row r="31" spans="1:15" outlineLevel="2" x14ac:dyDescent="0.25">
      <c r="A31" s="16" t="s">
        <v>27</v>
      </c>
      <c r="B31" s="16"/>
      <c r="C31" s="15">
        <v>30000</v>
      </c>
      <c r="D31" s="15">
        <v>30000</v>
      </c>
      <c r="E31" s="15">
        <v>30000</v>
      </c>
      <c r="F31" s="15">
        <f>F9*Константы!$B$10</f>
        <v>7991.3194444444453</v>
      </c>
      <c r="G31" s="15">
        <f>G9*Константы!$B$10</f>
        <v>10840.639467592593</v>
      </c>
      <c r="H31" s="15">
        <f>H9*Константы!$B$10</f>
        <v>13498.321156442904</v>
      </c>
      <c r="I31" s="15">
        <f>I9*Константы!$B$10</f>
        <v>16321.307774924449</v>
      </c>
      <c r="J31" s="15">
        <f>J9*Константы!$B$10</f>
        <v>19302.71161763593</v>
      </c>
      <c r="K31" s="15">
        <f>K9*Константы!$B$10</f>
        <v>22435.931966901098</v>
      </c>
      <c r="L31" s="15">
        <f>L9*Константы!$B$10</f>
        <v>25714.643134946891</v>
      </c>
      <c r="M31" s="15">
        <f>M9*Константы!$B$10</f>
        <v>29757.783004324108</v>
      </c>
      <c r="N31" s="15">
        <f>N9*Константы!$B$10</f>
        <v>34184.542045810602</v>
      </c>
      <c r="O31" s="15">
        <f t="shared" si="7"/>
        <v>240047.199613023</v>
      </c>
    </row>
    <row r="32" spans="1:15" outlineLevel="2" x14ac:dyDescent="0.25">
      <c r="A32" s="16" t="s">
        <v>28</v>
      </c>
      <c r="B32" s="16"/>
      <c r="C32" s="15">
        <v>30000</v>
      </c>
      <c r="D32" s="15">
        <v>30000</v>
      </c>
      <c r="E32" s="15">
        <v>30000</v>
      </c>
      <c r="F32" s="15">
        <v>30000</v>
      </c>
      <c r="G32" s="15">
        <v>30000</v>
      </c>
      <c r="H32" s="15">
        <v>50000</v>
      </c>
      <c r="I32" s="15">
        <v>50000</v>
      </c>
      <c r="J32" s="15">
        <v>50000</v>
      </c>
      <c r="K32" s="15">
        <v>50000</v>
      </c>
      <c r="L32" s="15">
        <v>50000</v>
      </c>
      <c r="M32" s="15">
        <v>70000</v>
      </c>
      <c r="N32" s="15">
        <v>70000</v>
      </c>
      <c r="O32" s="15">
        <f t="shared" si="7"/>
        <v>510000</v>
      </c>
    </row>
    <row r="33" spans="1:15" outlineLevel="2" x14ac:dyDescent="0.25">
      <c r="A33" s="16" t="s">
        <v>29</v>
      </c>
      <c r="B33" s="16"/>
      <c r="C33" s="17">
        <f>Персонал!B9*Константы!$B$8*Константы!$B$9</f>
        <v>16000</v>
      </c>
      <c r="D33" s="17">
        <f>Персонал!H9*Константы!$B$8*Константы!$B$9</f>
        <v>16000</v>
      </c>
      <c r="E33" s="17">
        <f>Персонал!N9*Константы!$B$8*Константы!$B$9</f>
        <v>16000</v>
      </c>
      <c r="F33" s="17">
        <f>Персонал!T9*Константы!$B$8*Константы!$B$9</f>
        <v>16000</v>
      </c>
      <c r="G33" s="17">
        <f>Персонал!Z9*Константы!$B$8*Константы!$B$9</f>
        <v>20000</v>
      </c>
      <c r="H33" s="17">
        <f>Персонал!AF9*Константы!$B$8*Константы!$B$9</f>
        <v>20000</v>
      </c>
      <c r="I33" s="17">
        <f>Персонал!AL9*Константы!$B$8*Константы!$B$9</f>
        <v>20000</v>
      </c>
      <c r="J33" s="17">
        <f>Персонал!AR9*Константы!$B$8*Константы!$B$9</f>
        <v>20000</v>
      </c>
      <c r="K33" s="17">
        <f>Персонал!AX9*Константы!$B$8*Константы!$B$9</f>
        <v>20000</v>
      </c>
      <c r="L33" s="17">
        <f>Персонал!BD9*Константы!$B$8*Константы!$B$9</f>
        <v>20000</v>
      </c>
      <c r="M33" s="17">
        <f>Персонал!BJ9*Константы!$B$8*Константы!$B$9</f>
        <v>20000</v>
      </c>
      <c r="N33" s="17">
        <f>Персонал!BP9*Константы!$B$8*Константы!$B$9</f>
        <v>20000</v>
      </c>
      <c r="O33" s="17">
        <f t="shared" si="7"/>
        <v>208000</v>
      </c>
    </row>
    <row r="34" spans="1:15" outlineLevel="2" x14ac:dyDescent="0.25">
      <c r="A34" s="16" t="s">
        <v>30</v>
      </c>
      <c r="B34" s="16"/>
      <c r="C34" s="17">
        <f>Персонал!$B$9*Константы!$B$11</f>
        <v>4000</v>
      </c>
      <c r="D34" s="17">
        <f>Персонал!H$9*Константы!$B$11</f>
        <v>4000</v>
      </c>
      <c r="E34" s="17">
        <f>Персонал!N$9*Константы!$B$11</f>
        <v>4000</v>
      </c>
      <c r="F34" s="17">
        <f>Персонал!T$9*Константы!$B$11</f>
        <v>4000</v>
      </c>
      <c r="G34" s="17">
        <f>Персонал!Z$9*Константы!$B$11</f>
        <v>5000</v>
      </c>
      <c r="H34" s="17">
        <f>Персонал!AF$9*Константы!$B$11</f>
        <v>5000</v>
      </c>
      <c r="I34" s="17">
        <f>Персонал!AL$9*Константы!$B$11</f>
        <v>5000</v>
      </c>
      <c r="J34" s="17">
        <f>Персонал!AR$9*Константы!$B$11</f>
        <v>5000</v>
      </c>
      <c r="K34" s="17">
        <f>Персонал!AX$9*Константы!$B$11</f>
        <v>5000</v>
      </c>
      <c r="L34" s="17">
        <f>Персонал!BD$9*Константы!$B$11</f>
        <v>5000</v>
      </c>
      <c r="M34" s="17">
        <f>Персонал!BJ$9*Константы!$B$11</f>
        <v>5000</v>
      </c>
      <c r="N34" s="17">
        <f>Персонал!BP$9*Константы!$B$11</f>
        <v>5000</v>
      </c>
      <c r="O34" s="17">
        <f t="shared" si="7"/>
        <v>52000</v>
      </c>
    </row>
    <row r="35" spans="1:15" outlineLevel="2" x14ac:dyDescent="0.25">
      <c r="A35" s="16" t="s">
        <v>31</v>
      </c>
      <c r="B35" s="16"/>
      <c r="C35" s="17">
        <f>Персонал!B9*Константы!B12</f>
        <v>140000</v>
      </c>
      <c r="D35" s="17">
        <f>(Персонал!H9-Персонал!B9)*Константы!$B$12</f>
        <v>0</v>
      </c>
      <c r="E35" s="17">
        <f>(Персонал!N9-Персонал!H9)*Константы!$B$12</f>
        <v>0</v>
      </c>
      <c r="F35" s="17">
        <f>(Персонал!T9-Персонал!N9)*Константы!$B$12</f>
        <v>0</v>
      </c>
      <c r="G35" s="17">
        <f>(Персонал!Z9-Персонал!T9)*Константы!$B$12</f>
        <v>35000</v>
      </c>
      <c r="H35" s="17">
        <f>(Персонал!AF9-Персонал!Z9)*Константы!$B$12</f>
        <v>0</v>
      </c>
      <c r="I35" s="17">
        <f>(Персонал!AL9-Персонал!AF9)*Константы!$B$12</f>
        <v>0</v>
      </c>
      <c r="J35" s="17">
        <f>(Персонал!AR9-Персонал!AL9)*Константы!$B$12</f>
        <v>0</v>
      </c>
      <c r="K35" s="17">
        <f>(Персонал!AX9-Персонал!AR9)*Константы!$B$12</f>
        <v>0</v>
      </c>
      <c r="L35" s="17">
        <f>(Персонал!BD9-Персонал!AX9)*Константы!$B$12</f>
        <v>0</v>
      </c>
      <c r="M35" s="17">
        <f>(Персонал!BJ9-Персонал!BD9)*Константы!$B$12</f>
        <v>0</v>
      </c>
      <c r="N35" s="17">
        <f>(Персонал!BP9-Персонал!BJ9)*Константы!$B$12</f>
        <v>0</v>
      </c>
      <c r="O35" s="17">
        <f t="shared" si="7"/>
        <v>35000</v>
      </c>
    </row>
    <row r="36" spans="1:15" outlineLevel="2" x14ac:dyDescent="0.25">
      <c r="A36" s="16" t="s">
        <v>32</v>
      </c>
      <c r="B36" s="16"/>
      <c r="C36" s="15">
        <v>10000</v>
      </c>
      <c r="D36" s="15">
        <v>10000</v>
      </c>
      <c r="E36" s="15">
        <v>10000</v>
      </c>
      <c r="F36" s="15">
        <v>100000</v>
      </c>
      <c r="G36" s="15">
        <v>100000</v>
      </c>
      <c r="H36" s="15">
        <v>100000</v>
      </c>
      <c r="I36" s="15">
        <v>100000</v>
      </c>
      <c r="J36" s="15">
        <v>100000</v>
      </c>
      <c r="K36" s="15">
        <v>100000</v>
      </c>
      <c r="L36" s="15">
        <v>100000</v>
      </c>
      <c r="M36" s="15">
        <v>100000</v>
      </c>
      <c r="N36" s="15">
        <v>100000</v>
      </c>
      <c r="O36" s="15">
        <f t="shared" si="7"/>
        <v>920000</v>
      </c>
    </row>
    <row r="37" spans="1:15" outlineLevel="2" x14ac:dyDescent="0.25">
      <c r="A37" s="16" t="s">
        <v>33</v>
      </c>
      <c r="B37" s="16"/>
      <c r="C37" s="17">
        <f>SUM(C30:C36)*Константы!$B$13</f>
        <v>16675.5</v>
      </c>
      <c r="D37" s="17">
        <f>SUM(D30:D36)*Константы!$B$13</f>
        <v>12475.5</v>
      </c>
      <c r="E37" s="17">
        <f>SUM(E30:E36)*Константы!$B$13</f>
        <v>12475.5</v>
      </c>
      <c r="F37" s="17">
        <f>SUM(F30:F36)*Константы!$B$13</f>
        <v>14515.239583333332</v>
      </c>
      <c r="G37" s="17">
        <f>SUM(G30:G36)*Константы!$B$13</f>
        <v>20558.719184027777</v>
      </c>
      <c r="H37" s="17">
        <f>SUM(H30:H36)*Константы!$B$13</f>
        <v>20188.449634693286</v>
      </c>
      <c r="I37" s="17">
        <f>SUM(I30:I36)*Константы!$B$13</f>
        <v>20273.139233247734</v>
      </c>
      <c r="J37" s="17">
        <f>SUM(J30:J36)*Константы!$B$13</f>
        <v>20362.581348529078</v>
      </c>
      <c r="K37" s="17">
        <f>SUM(K30:K36)*Константы!$B$13</f>
        <v>20456.577959007031</v>
      </c>
      <c r="L37" s="17">
        <f>SUM(L30:L36)*Константы!$B$13</f>
        <v>20554.939294048407</v>
      </c>
      <c r="M37" s="17">
        <f>SUM(M30:M36)*Константы!$B$13</f>
        <v>21276.233490129725</v>
      </c>
      <c r="N37" s="17">
        <f>SUM(N30:N36)*Константы!$B$13</f>
        <v>21409.036261374316</v>
      </c>
      <c r="O37" s="17">
        <f t="shared" si="7"/>
        <v>204545.91598839068</v>
      </c>
    </row>
    <row r="38" spans="1:15" outlineLevel="1" x14ac:dyDescent="0.25">
      <c r="A38" s="19" t="s">
        <v>34</v>
      </c>
      <c r="B38" s="19"/>
      <c r="C38" s="20">
        <f>SUM(C30:C37)</f>
        <v>572525.5</v>
      </c>
      <c r="D38" s="20">
        <f>SUM(D30:D37)</f>
        <v>428325.5</v>
      </c>
      <c r="E38" s="20">
        <f>SUM(E30:E37)</f>
        <v>428325.5</v>
      </c>
      <c r="F38" s="20">
        <f>SUM(F30:F37)</f>
        <v>498356.55902777775</v>
      </c>
      <c r="G38" s="20">
        <f>SUM(G30:G37)</f>
        <v>705849.35865162034</v>
      </c>
      <c r="H38" s="20">
        <f>SUM(H30:H37)</f>
        <v>693136.77079113619</v>
      </c>
      <c r="I38" s="20">
        <f>SUM(I30:I37)</f>
        <v>696044.44700817217</v>
      </c>
      <c r="J38" s="20">
        <f>SUM(J30:J37)</f>
        <v>699115.292966165</v>
      </c>
      <c r="K38" s="20">
        <f>SUM(K30:K37)</f>
        <v>702342.50992590806</v>
      </c>
      <c r="L38" s="20">
        <f>SUM(L30:L37)</f>
        <v>705719.58242899529</v>
      </c>
      <c r="M38" s="20">
        <f>SUM(M30:M37)</f>
        <v>730484.01649445388</v>
      </c>
      <c r="N38" s="20">
        <f>SUM(N30:N37)</f>
        <v>735043.57830718497</v>
      </c>
      <c r="O38" s="20">
        <f>SUM(O30:O37)</f>
        <v>7022743.115601413</v>
      </c>
    </row>
    <row r="39" spans="1:15" outlineLevel="1" x14ac:dyDescent="0.25">
      <c r="A39" s="19"/>
      <c r="B39" s="19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13"/>
    </row>
    <row r="40" spans="1:15" ht="18.75" x14ac:dyDescent="0.3">
      <c r="A40" s="11" t="s">
        <v>35</v>
      </c>
      <c r="B40" s="11"/>
      <c r="C40" s="12">
        <f>C27+C38</f>
        <v>609525.5</v>
      </c>
      <c r="D40" s="12">
        <f>D27+D38</f>
        <v>474600.5</v>
      </c>
      <c r="E40" s="12">
        <f>E27+E38</f>
        <v>485000.5</v>
      </c>
      <c r="F40" s="12">
        <f>F27+F38</f>
        <v>566509.68402777775</v>
      </c>
      <c r="G40" s="12">
        <f>G27+G38</f>
        <v>790388.81177662034</v>
      </c>
      <c r="H40" s="12">
        <f>H27+H38</f>
        <v>792527.70503592794</v>
      </c>
      <c r="I40" s="12">
        <f>I27+I38</f>
        <v>811179.50899276417</v>
      </c>
      <c r="J40" s="12">
        <f>J27+J38</f>
        <v>830849.93570139899</v>
      </c>
      <c r="K40" s="12">
        <f>K27+K38</f>
        <v>851496.54254717403</v>
      </c>
      <c r="L40" s="12">
        <f>L27+L38</f>
        <v>873078.65535770846</v>
      </c>
      <c r="M40" s="12">
        <f>M27+M38</f>
        <v>920676.04471780406</v>
      </c>
      <c r="N40" s="12">
        <f>N27+N38</f>
        <v>950140.10535456217</v>
      </c>
      <c r="O40" s="12">
        <f>SUM(D40:N40)</f>
        <v>8346447.9935117383</v>
      </c>
    </row>
    <row r="41" spans="1:15" x14ac:dyDescent="0.25">
      <c r="A41" s="5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5"/>
    </row>
    <row r="42" spans="1:15" ht="18.75" x14ac:dyDescent="0.3">
      <c r="A42" s="11" t="s">
        <v>36</v>
      </c>
      <c r="B42" s="11"/>
      <c r="C42" s="12">
        <f>C11-C40</f>
        <v>-384525.5</v>
      </c>
      <c r="D42" s="12">
        <f>D11-D40</f>
        <v>-103350.5</v>
      </c>
      <c r="E42" s="12">
        <f>E11-E40</f>
        <v>51249.5</v>
      </c>
      <c r="F42" s="12">
        <f>F11-F40</f>
        <v>152709.06597222236</v>
      </c>
      <c r="G42" s="12">
        <f>G11-G40</f>
        <v>185268.74030671315</v>
      </c>
      <c r="H42" s="12">
        <f>H11-H40</f>
        <v>422321.19904393353</v>
      </c>
      <c r="I42" s="12">
        <f>I11-I40</f>
        <v>657738.19075043616</v>
      </c>
      <c r="J42" s="12">
        <f>J11-J40</f>
        <v>906394.10988583474</v>
      </c>
      <c r="K42" s="12">
        <f>K11-K40</f>
        <v>1167737.3344739249</v>
      </c>
      <c r="L42" s="12">
        <f>L11-L40</f>
        <v>1441239.226787512</v>
      </c>
      <c r="M42" s="12">
        <f>M11-M40</f>
        <v>1757524.4256713656</v>
      </c>
      <c r="N42" s="12">
        <f>N11-N40</f>
        <v>2126468.6787683917</v>
      </c>
      <c r="O42" s="12">
        <f>SUM(D42:N42)</f>
        <v>8765299.9716603346</v>
      </c>
    </row>
    <row r="43" spans="1:1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3"/>
    </row>
    <row r="44" spans="1:15" hidden="1" x14ac:dyDescent="0.25">
      <c r="A44" s="5" t="s">
        <v>37</v>
      </c>
      <c r="B44" s="5"/>
      <c r="C44" s="2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13"/>
    </row>
    <row r="45" spans="1:15" ht="18.75" hidden="1" x14ac:dyDescent="0.3">
      <c r="A45" s="25" t="s">
        <v>38</v>
      </c>
      <c r="B45" s="24">
        <f>C44</f>
        <v>0</v>
      </c>
      <c r="C45" s="26">
        <f>B45+C42</f>
        <v>-384525.5</v>
      </c>
      <c r="D45" s="26">
        <f t="shared" ref="D45:N45" si="8">C45+D42</f>
        <v>-487876</v>
      </c>
      <c r="E45" s="26">
        <f t="shared" si="8"/>
        <v>-436626.5</v>
      </c>
      <c r="F45" s="26">
        <f t="shared" si="8"/>
        <v>-283917.43402777764</v>
      </c>
      <c r="G45" s="26">
        <f t="shared" si="8"/>
        <v>-98648.693721064483</v>
      </c>
      <c r="H45" s="26">
        <f t="shared" si="8"/>
        <v>323672.50532286905</v>
      </c>
      <c r="I45" s="26">
        <f t="shared" si="8"/>
        <v>981410.69607330521</v>
      </c>
      <c r="J45" s="26">
        <f t="shared" si="8"/>
        <v>1887804.80595914</v>
      </c>
      <c r="K45" s="26">
        <f t="shared" si="8"/>
        <v>3055542.1404330647</v>
      </c>
      <c r="L45" s="26">
        <f t="shared" si="8"/>
        <v>4496781.3672205769</v>
      </c>
      <c r="M45" s="26">
        <f t="shared" si="8"/>
        <v>6254305.792891942</v>
      </c>
      <c r="N45" s="26">
        <f t="shared" si="8"/>
        <v>8380774.4716603337</v>
      </c>
      <c r="O45" s="26"/>
    </row>
    <row r="46" spans="1:15" hidden="1" x14ac:dyDescent="0.25">
      <c r="A46" s="5" t="s">
        <v>39</v>
      </c>
      <c r="B46" s="5"/>
      <c r="C46" s="27">
        <f>C44+B46</f>
        <v>0</v>
      </c>
      <c r="D46" s="27">
        <f>D44+C46</f>
        <v>0</v>
      </c>
      <c r="E46" s="27">
        <f t="shared" ref="E46:N46" si="9">D44+D46</f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14" t="e">
        <f>#N/A</f>
        <v>#N/A</v>
      </c>
    </row>
    <row r="47" spans="1:15" x14ac:dyDescent="0.25">
      <c r="A47" s="5"/>
      <c r="B47" s="5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13"/>
    </row>
    <row r="48" spans="1:15" x14ac:dyDescent="0.25">
      <c r="A48" s="5" t="s">
        <v>40</v>
      </c>
      <c r="B48" s="5"/>
      <c r="C48" s="28">
        <f t="shared" ref="C48:N48" si="10">IF(C42&lt;0,0,C42)</f>
        <v>0</v>
      </c>
      <c r="D48" s="28">
        <f t="shared" si="10"/>
        <v>0</v>
      </c>
      <c r="E48" s="28">
        <f t="shared" si="10"/>
        <v>51249.5</v>
      </c>
      <c r="F48" s="28">
        <f t="shared" si="10"/>
        <v>152709.06597222236</v>
      </c>
      <c r="G48" s="28">
        <f t="shared" si="10"/>
        <v>185268.74030671315</v>
      </c>
      <c r="H48" s="28">
        <f t="shared" si="10"/>
        <v>422321.19904393353</v>
      </c>
      <c r="I48" s="28">
        <f t="shared" si="10"/>
        <v>657738.19075043616</v>
      </c>
      <c r="J48" s="28">
        <f t="shared" si="10"/>
        <v>906394.10988583474</v>
      </c>
      <c r="K48" s="28">
        <f t="shared" si="10"/>
        <v>1167737.3344739249</v>
      </c>
      <c r="L48" s="28">
        <f t="shared" si="10"/>
        <v>1441239.226787512</v>
      </c>
      <c r="M48" s="28">
        <f t="shared" si="10"/>
        <v>1757524.4256713656</v>
      </c>
      <c r="N48" s="28">
        <f t="shared" si="10"/>
        <v>2126468.6787683917</v>
      </c>
      <c r="O48" s="17">
        <f t="shared" ref="O48:O50" si="11">SUM(D48:N48)</f>
        <v>8868650.4716603346</v>
      </c>
    </row>
    <row r="49" spans="1:15" x14ac:dyDescent="0.25">
      <c r="A49" s="5" t="s">
        <v>41</v>
      </c>
      <c r="B49" s="5"/>
      <c r="C49" s="28">
        <f>C48*Константы!$B$3</f>
        <v>0</v>
      </c>
      <c r="D49" s="28">
        <f>D48*Константы!$B$3</f>
        <v>0</v>
      </c>
      <c r="E49" s="28">
        <f>E48*Константы!$B$3</f>
        <v>3074.97</v>
      </c>
      <c r="F49" s="28">
        <f>F48*Константы!$B$3</f>
        <v>9162.5439583333409</v>
      </c>
      <c r="G49" s="28">
        <f>G48*Константы!$B$3</f>
        <v>11116.124418402789</v>
      </c>
      <c r="H49" s="28">
        <f>H48*Константы!$B$3</f>
        <v>25339.271942636013</v>
      </c>
      <c r="I49" s="28">
        <f>I48*Константы!$B$3</f>
        <v>39464.291445026167</v>
      </c>
      <c r="J49" s="28">
        <f>J48*Константы!$B$3</f>
        <v>54383.646593150079</v>
      </c>
      <c r="K49" s="28">
        <f>K48*Константы!$B$3</f>
        <v>70064.240068435494</v>
      </c>
      <c r="L49" s="28">
        <f>L48*Константы!$B$3</f>
        <v>86474.353607250712</v>
      </c>
      <c r="M49" s="28">
        <f>M48*Константы!$B$3</f>
        <v>105451.46554028193</v>
      </c>
      <c r="N49" s="28">
        <f>N48*Константы!$B$3</f>
        <v>127588.1207261035</v>
      </c>
      <c r="O49" s="17">
        <f t="shared" si="11"/>
        <v>532119.02829962003</v>
      </c>
    </row>
    <row r="50" spans="1:15" ht="18.75" x14ac:dyDescent="0.3">
      <c r="A50" s="11" t="s">
        <v>42</v>
      </c>
      <c r="B50" s="11"/>
      <c r="C50" s="12">
        <f>C42-C44-C49</f>
        <v>-384525.5</v>
      </c>
      <c r="D50" s="12">
        <f>D42-D44-D49</f>
        <v>-103350.5</v>
      </c>
      <c r="E50" s="12">
        <f t="shared" ref="E50:N50" si="12">E42-D44-E49</f>
        <v>48174.53</v>
      </c>
      <c r="F50" s="12">
        <f t="shared" si="12"/>
        <v>143546.52201388901</v>
      </c>
      <c r="G50" s="12">
        <f t="shared" si="12"/>
        <v>174152.61588831036</v>
      </c>
      <c r="H50" s="12">
        <f t="shared" si="12"/>
        <v>396981.92710129754</v>
      </c>
      <c r="I50" s="12">
        <f t="shared" si="12"/>
        <v>618273.89930540998</v>
      </c>
      <c r="J50" s="12">
        <f t="shared" si="12"/>
        <v>852010.46329268464</v>
      </c>
      <c r="K50" s="12">
        <f t="shared" si="12"/>
        <v>1097673.0944054895</v>
      </c>
      <c r="L50" s="12">
        <f t="shared" si="12"/>
        <v>1354764.8731802613</v>
      </c>
      <c r="M50" s="12">
        <f t="shared" si="12"/>
        <v>1652072.9601310836</v>
      </c>
      <c r="N50" s="12">
        <f t="shared" si="12"/>
        <v>1998880.5580422883</v>
      </c>
      <c r="O50" s="12">
        <f t="shared" si="11"/>
        <v>8233180.9433607142</v>
      </c>
    </row>
    <row r="51" spans="1:15" ht="18.75" x14ac:dyDescent="0.3">
      <c r="A51" s="11" t="s">
        <v>43</v>
      </c>
      <c r="B51" s="29"/>
      <c r="C51" s="30">
        <f>IF((C50/C11)&lt;0,0,C50/C11)</f>
        <v>0</v>
      </c>
      <c r="D51" s="30">
        <f>IF((D50/D11)&lt;0,0,D50/D11)</f>
        <v>0</v>
      </c>
      <c r="E51" s="30">
        <f>IF((E50/E11)&lt;0,0,E50/E11)</f>
        <v>8.9835953379953384E-2</v>
      </c>
      <c r="F51" s="30">
        <f>IF((F50/F11)&lt;0,0,F50/F11)</f>
        <v>0.19958673493132512</v>
      </c>
      <c r="G51" s="30">
        <f>IF((G50/G11)&lt;0,0,G50/G11)</f>
        <v>0.17849768652581036</v>
      </c>
      <c r="H51" s="30">
        <f>IF((H50/H11)&lt;0,0,H50/H11)</f>
        <v>0.32677473368754079</v>
      </c>
      <c r="I51" s="30">
        <f>IF((I50/I11)&lt;0,0,I50/I11)</f>
        <v>0.42090438382865025</v>
      </c>
      <c r="J51" s="30">
        <f>IF((J50/J11)&lt;0,0,J50/J11)</f>
        <v>0.49043798161626906</v>
      </c>
      <c r="K51" s="30">
        <f>IF((K50/K11)&lt;0,0,K50/K11)</f>
        <v>0.54360869580142246</v>
      </c>
      <c r="L51" s="30">
        <f>IF((L50/L11)&lt;0,0,L50/L11)</f>
        <v>0.58538409249315548</v>
      </c>
      <c r="M51" s="30">
        <f>IF((M50/M11)&lt;0,0,M50/M11)</f>
        <v>0.61685933461546316</v>
      </c>
      <c r="N51" s="30">
        <f>IF((N50/N11)&lt;0,0,N50/N11)</f>
        <v>0.64970254533421523</v>
      </c>
      <c r="O51" s="30">
        <f>IF((O50/O11)&lt;0,0,O50/O11)</f>
        <v>0.48114201775983928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"/>
  <sheetViews>
    <sheetView tabSelected="1" workbookViewId="0">
      <selection activeCell="E25" sqref="E25"/>
    </sheetView>
  </sheetViews>
  <sheetFormatPr defaultColWidth="8.7109375" defaultRowHeight="15" x14ac:dyDescent="0.25"/>
  <cols>
    <col min="1" max="1" width="25.85546875" customWidth="1"/>
    <col min="2" max="2" width="11.5703125" style="1" customWidth="1"/>
    <col min="3" max="3" width="11.5703125" customWidth="1"/>
    <col min="4" max="4" width="12.42578125" customWidth="1"/>
    <col min="5" max="5" width="15.42578125" customWidth="1"/>
    <col min="6" max="6" width="14" customWidth="1"/>
    <col min="7" max="7" width="16" customWidth="1"/>
    <col min="8" max="8" width="11.5703125" style="1" customWidth="1"/>
    <col min="9" max="9" width="11.5703125" customWidth="1"/>
    <col min="10" max="10" width="12.42578125" customWidth="1"/>
    <col min="11" max="12" width="11" customWidth="1"/>
    <col min="13" max="13" width="16" customWidth="1"/>
    <col min="14" max="14" width="11.5703125" style="1" customWidth="1"/>
    <col min="15" max="15" width="11.5703125" customWidth="1"/>
    <col min="16" max="16" width="12.42578125" customWidth="1"/>
    <col min="17" max="18" width="11" customWidth="1"/>
    <col min="19" max="19" width="16" customWidth="1"/>
    <col min="20" max="20" width="11.5703125" style="1" customWidth="1"/>
    <col min="21" max="21" width="11.5703125" customWidth="1"/>
    <col min="22" max="22" width="12.42578125" customWidth="1"/>
    <col min="23" max="24" width="11" customWidth="1"/>
    <col min="25" max="25" width="16" customWidth="1"/>
    <col min="26" max="26" width="11.5703125" style="1" customWidth="1"/>
    <col min="27" max="27" width="11.5703125" customWidth="1"/>
    <col min="28" max="28" width="12.42578125" customWidth="1"/>
    <col min="29" max="30" width="11" customWidth="1"/>
    <col min="31" max="31" width="16" customWidth="1"/>
    <col min="32" max="32" width="11.5703125" style="1" customWidth="1"/>
    <col min="33" max="33" width="11.5703125" customWidth="1"/>
    <col min="34" max="34" width="12.42578125" customWidth="1"/>
    <col min="35" max="36" width="11" customWidth="1"/>
    <col min="37" max="37" width="16" customWidth="1"/>
    <col min="38" max="38" width="11.5703125" style="1" customWidth="1"/>
    <col min="39" max="39" width="11.5703125" customWidth="1"/>
    <col min="40" max="40" width="12.42578125" customWidth="1"/>
    <col min="41" max="42" width="11" customWidth="1"/>
    <col min="43" max="43" width="16" customWidth="1"/>
    <col min="44" max="44" width="11.5703125" style="1" customWidth="1"/>
    <col min="45" max="45" width="11.5703125" customWidth="1"/>
    <col min="46" max="46" width="12.42578125" customWidth="1"/>
    <col min="47" max="48" width="11" customWidth="1"/>
    <col min="49" max="49" width="16" customWidth="1"/>
    <col min="50" max="50" width="11.5703125" style="1" customWidth="1"/>
    <col min="51" max="51" width="11.5703125" customWidth="1"/>
    <col min="52" max="52" width="12.42578125" customWidth="1"/>
    <col min="53" max="54" width="11" customWidth="1"/>
    <col min="55" max="55" width="16" customWidth="1"/>
    <col min="56" max="57" width="11.5703125" customWidth="1"/>
    <col min="58" max="58" width="12.42578125" customWidth="1"/>
    <col min="59" max="59" width="11.85546875" customWidth="1"/>
    <col min="60" max="60" width="11" customWidth="1"/>
    <col min="61" max="61" width="16" customWidth="1"/>
    <col min="62" max="62" width="11.5703125" style="1" customWidth="1"/>
    <col min="63" max="63" width="11.5703125" customWidth="1"/>
    <col min="64" max="64" width="12.42578125" customWidth="1"/>
    <col min="65" max="65" width="11.85546875" customWidth="1"/>
    <col min="66" max="66" width="11" customWidth="1"/>
    <col min="67" max="67" width="16" customWidth="1"/>
    <col min="68" max="68" width="11.5703125" style="1" customWidth="1"/>
    <col min="69" max="69" width="11.5703125" customWidth="1"/>
    <col min="70" max="70" width="12.42578125" customWidth="1"/>
    <col min="71" max="71" width="11.85546875" customWidth="1"/>
    <col min="72" max="72" width="11" customWidth="1"/>
    <col min="73" max="73" width="16" customWidth="1"/>
  </cols>
  <sheetData>
    <row r="1" spans="1:73" ht="18.75" x14ac:dyDescent="0.3">
      <c r="A1" s="32"/>
      <c r="B1" s="41" t="s">
        <v>1</v>
      </c>
      <c r="C1" s="41"/>
      <c r="D1" s="41"/>
      <c r="E1" s="41"/>
      <c r="F1" s="41"/>
      <c r="G1" s="41"/>
      <c r="H1" s="41" t="s">
        <v>2</v>
      </c>
      <c r="I1" s="41"/>
      <c r="J1" s="41"/>
      <c r="K1" s="41"/>
      <c r="L1" s="41"/>
      <c r="M1" s="41"/>
      <c r="N1" s="41" t="s">
        <v>3</v>
      </c>
      <c r="O1" s="41"/>
      <c r="P1" s="41"/>
      <c r="Q1" s="41"/>
      <c r="R1" s="41"/>
      <c r="S1" s="41"/>
      <c r="T1" s="41" t="s">
        <v>4</v>
      </c>
      <c r="U1" s="41"/>
      <c r="V1" s="41"/>
      <c r="W1" s="41"/>
      <c r="X1" s="41"/>
      <c r="Y1" s="41"/>
      <c r="Z1" s="41" t="s">
        <v>5</v>
      </c>
      <c r="AA1" s="41"/>
      <c r="AB1" s="41"/>
      <c r="AC1" s="41"/>
      <c r="AD1" s="41"/>
      <c r="AE1" s="41"/>
      <c r="AF1" s="41" t="s">
        <v>6</v>
      </c>
      <c r="AG1" s="41"/>
      <c r="AH1" s="41"/>
      <c r="AI1" s="41"/>
      <c r="AJ1" s="41"/>
      <c r="AK1" s="41"/>
      <c r="AL1" s="41" t="s">
        <v>7</v>
      </c>
      <c r="AM1" s="41"/>
      <c r="AN1" s="41"/>
      <c r="AO1" s="41"/>
      <c r="AP1" s="41"/>
      <c r="AQ1" s="41"/>
      <c r="AR1" s="41" t="s">
        <v>8</v>
      </c>
      <c r="AS1" s="41"/>
      <c r="AT1" s="41"/>
      <c r="AU1" s="41"/>
      <c r="AV1" s="41"/>
      <c r="AW1" s="41"/>
      <c r="AX1" s="41" t="s">
        <v>9</v>
      </c>
      <c r="AY1" s="41"/>
      <c r="AZ1" s="41"/>
      <c r="BA1" s="41"/>
      <c r="BB1" s="41"/>
      <c r="BC1" s="41"/>
      <c r="BD1" s="41" t="s">
        <v>10</v>
      </c>
      <c r="BE1" s="41"/>
      <c r="BF1" s="41"/>
      <c r="BG1" s="41"/>
      <c r="BH1" s="41"/>
      <c r="BI1" s="41"/>
      <c r="BJ1" s="41" t="s">
        <v>11</v>
      </c>
      <c r="BK1" s="41"/>
      <c r="BL1" s="41"/>
      <c r="BM1" s="41"/>
      <c r="BN1" s="41"/>
      <c r="BO1" s="41"/>
      <c r="BP1" s="41" t="s">
        <v>12</v>
      </c>
      <c r="BQ1" s="41"/>
      <c r="BR1" s="41"/>
      <c r="BS1" s="41"/>
      <c r="BT1" s="41"/>
      <c r="BU1" s="41"/>
    </row>
    <row r="2" spans="1:73" x14ac:dyDescent="0.25">
      <c r="A2" s="33" t="s">
        <v>44</v>
      </c>
      <c r="B2" s="34" t="s">
        <v>45</v>
      </c>
      <c r="C2" s="33" t="s">
        <v>46</v>
      </c>
      <c r="D2" s="33" t="s">
        <v>47</v>
      </c>
      <c r="E2" s="33" t="s">
        <v>48</v>
      </c>
      <c r="F2" s="33" t="s">
        <v>21</v>
      </c>
      <c r="G2" s="33" t="s">
        <v>49</v>
      </c>
      <c r="H2" s="34" t="s">
        <v>45</v>
      </c>
      <c r="I2" s="33" t="s">
        <v>46</v>
      </c>
      <c r="J2" s="33" t="s">
        <v>47</v>
      </c>
      <c r="K2" s="33" t="s">
        <v>48</v>
      </c>
      <c r="L2" s="33" t="s">
        <v>21</v>
      </c>
      <c r="M2" s="33" t="s">
        <v>49</v>
      </c>
      <c r="N2" s="34" t="s">
        <v>45</v>
      </c>
      <c r="O2" s="33" t="s">
        <v>46</v>
      </c>
      <c r="P2" s="33" t="s">
        <v>47</v>
      </c>
      <c r="Q2" s="33" t="s">
        <v>48</v>
      </c>
      <c r="R2" s="33" t="s">
        <v>21</v>
      </c>
      <c r="S2" s="33" t="s">
        <v>49</v>
      </c>
      <c r="T2" s="34" t="s">
        <v>45</v>
      </c>
      <c r="U2" s="33" t="s">
        <v>46</v>
      </c>
      <c r="V2" s="33" t="s">
        <v>47</v>
      </c>
      <c r="W2" s="33" t="s">
        <v>48</v>
      </c>
      <c r="X2" s="33" t="s">
        <v>21</v>
      </c>
      <c r="Y2" s="33" t="s">
        <v>49</v>
      </c>
      <c r="Z2" s="34" t="s">
        <v>45</v>
      </c>
      <c r="AA2" s="33" t="s">
        <v>46</v>
      </c>
      <c r="AB2" s="33" t="s">
        <v>47</v>
      </c>
      <c r="AC2" s="33" t="s">
        <v>48</v>
      </c>
      <c r="AD2" s="33" t="s">
        <v>21</v>
      </c>
      <c r="AE2" s="33" t="s">
        <v>49</v>
      </c>
      <c r="AF2" s="34" t="s">
        <v>45</v>
      </c>
      <c r="AG2" s="33" t="s">
        <v>46</v>
      </c>
      <c r="AH2" s="33" t="s">
        <v>47</v>
      </c>
      <c r="AI2" s="33" t="s">
        <v>48</v>
      </c>
      <c r="AJ2" s="33" t="s">
        <v>21</v>
      </c>
      <c r="AK2" s="33" t="s">
        <v>49</v>
      </c>
      <c r="AL2" s="34" t="s">
        <v>45</v>
      </c>
      <c r="AM2" s="33" t="s">
        <v>46</v>
      </c>
      <c r="AN2" s="33" t="s">
        <v>47</v>
      </c>
      <c r="AO2" s="33" t="s">
        <v>48</v>
      </c>
      <c r="AP2" s="33" t="s">
        <v>21</v>
      </c>
      <c r="AQ2" s="33" t="s">
        <v>49</v>
      </c>
      <c r="AR2" s="34" t="s">
        <v>45</v>
      </c>
      <c r="AS2" s="33" t="s">
        <v>46</v>
      </c>
      <c r="AT2" s="33" t="s">
        <v>47</v>
      </c>
      <c r="AU2" s="33" t="s">
        <v>48</v>
      </c>
      <c r="AV2" s="33" t="s">
        <v>21</v>
      </c>
      <c r="AW2" s="33" t="s">
        <v>49</v>
      </c>
      <c r="AX2" s="34" t="s">
        <v>45</v>
      </c>
      <c r="AY2" s="33" t="s">
        <v>46</v>
      </c>
      <c r="AZ2" s="33" t="s">
        <v>47</v>
      </c>
      <c r="BA2" s="33" t="s">
        <v>48</v>
      </c>
      <c r="BB2" s="33" t="s">
        <v>21</v>
      </c>
      <c r="BC2" s="33" t="s">
        <v>49</v>
      </c>
      <c r="BD2" s="33" t="s">
        <v>45</v>
      </c>
      <c r="BE2" s="33" t="s">
        <v>46</v>
      </c>
      <c r="BF2" s="33" t="s">
        <v>47</v>
      </c>
      <c r="BG2" s="33" t="s">
        <v>48</v>
      </c>
      <c r="BH2" s="33" t="s">
        <v>21</v>
      </c>
      <c r="BI2" s="33" t="s">
        <v>49</v>
      </c>
      <c r="BJ2" s="34" t="s">
        <v>45</v>
      </c>
      <c r="BK2" s="33" t="s">
        <v>46</v>
      </c>
      <c r="BL2" s="33" t="s">
        <v>47</v>
      </c>
      <c r="BM2" s="33" t="s">
        <v>48</v>
      </c>
      <c r="BN2" s="33" t="s">
        <v>21</v>
      </c>
      <c r="BO2" s="33" t="s">
        <v>49</v>
      </c>
      <c r="BP2" s="34" t="s">
        <v>45</v>
      </c>
      <c r="BQ2" s="33" t="s">
        <v>46</v>
      </c>
      <c r="BR2" s="33" t="s">
        <v>47</v>
      </c>
      <c r="BS2" s="33" t="s">
        <v>48</v>
      </c>
      <c r="BT2" s="33" t="s">
        <v>21</v>
      </c>
      <c r="BU2" s="33" t="s">
        <v>49</v>
      </c>
    </row>
    <row r="3" spans="1:73" x14ac:dyDescent="0.25">
      <c r="A3" s="16" t="s">
        <v>50</v>
      </c>
      <c r="B3" s="35">
        <f>ROUNDUP(Модель!C$13/Константы!$B$6,0)</f>
        <v>1</v>
      </c>
      <c r="C3" s="18">
        <v>20000</v>
      </c>
      <c r="D3" s="18">
        <v>20000</v>
      </c>
      <c r="E3" s="18">
        <f t="shared" ref="E3:E5" si="0">(C3+D3)*B3</f>
        <v>40000</v>
      </c>
      <c r="F3" s="18">
        <f>C3*(Константы!$B$4+Константы!$B$5)*B3</f>
        <v>8600.0000000000018</v>
      </c>
      <c r="G3" s="18">
        <f t="shared" ref="G3:G5" si="1">E3+F3</f>
        <v>48600</v>
      </c>
      <c r="H3" s="35">
        <f>ROUNDUP(Модель!D$13/Константы!$B$6,0)</f>
        <v>1</v>
      </c>
      <c r="I3" s="18">
        <v>20000</v>
      </c>
      <c r="J3" s="18">
        <v>20000</v>
      </c>
      <c r="K3" s="18">
        <f t="shared" ref="K3:K5" si="2">(I3+J3)*H3</f>
        <v>40000</v>
      </c>
      <c r="L3" s="18">
        <f>I3*(Константы!$B$4+Константы!$B$5)*H3</f>
        <v>8600.0000000000018</v>
      </c>
      <c r="M3" s="18">
        <f t="shared" ref="M3:M5" si="3">K3+L3</f>
        <v>48600</v>
      </c>
      <c r="N3" s="35">
        <f>ROUNDUP(Модель!E$13/Константы!$B$6,0)</f>
        <v>1</v>
      </c>
      <c r="O3" s="18">
        <v>20000</v>
      </c>
      <c r="P3" s="18">
        <v>20000</v>
      </c>
      <c r="Q3" s="18">
        <f t="shared" ref="Q3:Q5" si="4">(O3+P3)*N3</f>
        <v>40000</v>
      </c>
      <c r="R3" s="18">
        <f>O3*(Константы!$B$4+Константы!$B$5)*N3</f>
        <v>8600.0000000000018</v>
      </c>
      <c r="S3" s="18">
        <f t="shared" ref="S3:S5" si="5">Q3+R3</f>
        <v>48600</v>
      </c>
      <c r="T3" s="35">
        <f>ROUNDUP(Модель!F$13/Константы!$B$6,0)</f>
        <v>1</v>
      </c>
      <c r="U3" s="18">
        <v>20000</v>
      </c>
      <c r="V3" s="18">
        <v>20000</v>
      </c>
      <c r="W3" s="18">
        <f t="shared" ref="W3:W5" si="6">(U3+V3)*T3</f>
        <v>40000</v>
      </c>
      <c r="X3" s="18">
        <f>U3*(Константы!$B$4+Константы!$B$5)*T3</f>
        <v>8600.0000000000018</v>
      </c>
      <c r="Y3" s="18">
        <f t="shared" ref="Y3:Y5" si="7">W3+X3</f>
        <v>48600</v>
      </c>
      <c r="Z3" s="35">
        <f>ROUNDUP(Модель!G$13/Константы!$B$6,0)</f>
        <v>1</v>
      </c>
      <c r="AA3" s="18">
        <v>20000</v>
      </c>
      <c r="AB3" s="18">
        <v>20000</v>
      </c>
      <c r="AC3" s="18">
        <f t="shared" ref="AC3:AC7" si="8">(AA3+AB3)*Z3</f>
        <v>40000</v>
      </c>
      <c r="AD3" s="18">
        <f>AA3*(Константы!$B$4+Константы!$B$5)*Z3</f>
        <v>8600.0000000000018</v>
      </c>
      <c r="AE3" s="18">
        <f t="shared" ref="AE3:AE7" si="9">AC3+AD3</f>
        <v>48600</v>
      </c>
      <c r="AF3" s="35">
        <f>ROUNDUP(Модель!H$13/Константы!$B$6,0)</f>
        <v>1</v>
      </c>
      <c r="AG3" s="18">
        <v>20000</v>
      </c>
      <c r="AH3" s="18">
        <v>20000</v>
      </c>
      <c r="AI3" s="18">
        <f t="shared" ref="AI3:AI7" si="10">(AG3+AH3)*AF3</f>
        <v>40000</v>
      </c>
      <c r="AJ3" s="18">
        <f>AG3*(Константы!$B$4+Константы!$B$5)*AF3</f>
        <v>8600.0000000000018</v>
      </c>
      <c r="AK3" s="18">
        <f t="shared" ref="AK3:AK7" si="11">AI3+AJ3</f>
        <v>48600</v>
      </c>
      <c r="AL3" s="35">
        <f>ROUNDUP(Модель!I$13/Константы!$B$6,0)</f>
        <v>1</v>
      </c>
      <c r="AM3" s="18">
        <v>20000</v>
      </c>
      <c r="AN3" s="18">
        <v>20000</v>
      </c>
      <c r="AO3" s="18">
        <f t="shared" ref="AO3:AO7" si="12">(AM3+AN3)*AL3</f>
        <v>40000</v>
      </c>
      <c r="AP3" s="18">
        <f>AM3*(Константы!$B$4+Константы!$B$5)*AL3</f>
        <v>8600.0000000000018</v>
      </c>
      <c r="AQ3" s="18">
        <f t="shared" ref="AQ3:AQ7" si="13">AO3+AP3</f>
        <v>48600</v>
      </c>
      <c r="AR3" s="35">
        <f>ROUNDUP(Модель!J$13/Константы!$B$6,0)</f>
        <v>1</v>
      </c>
      <c r="AS3" s="18">
        <v>20000</v>
      </c>
      <c r="AT3" s="18">
        <v>20000</v>
      </c>
      <c r="AU3" s="18">
        <f t="shared" ref="AU3:AU7" si="14">(AS3+AT3)*AR3</f>
        <v>40000</v>
      </c>
      <c r="AV3" s="18">
        <f>AS3*(Константы!$B$4+Константы!$B$5)*AR3</f>
        <v>8600.0000000000018</v>
      </c>
      <c r="AW3" s="18">
        <f t="shared" ref="AW3:AW7" si="15">AU3+AV3</f>
        <v>48600</v>
      </c>
      <c r="AX3" s="35">
        <f>ROUNDUP(Модель!K$13/Константы!$B$6,0)</f>
        <v>1</v>
      </c>
      <c r="AY3" s="18">
        <v>20000</v>
      </c>
      <c r="AZ3" s="18">
        <v>20000</v>
      </c>
      <c r="BA3" s="18">
        <f t="shared" ref="BA3:BA7" si="16">(AY3+AZ3)*AX3</f>
        <v>40000</v>
      </c>
      <c r="BB3" s="18">
        <f>AY3*(Константы!$B$4+Константы!$B$5)*AX3</f>
        <v>8600.0000000000018</v>
      </c>
      <c r="BC3" s="18">
        <f t="shared" ref="BC3:BC7" si="17">BA3+BB3</f>
        <v>48600</v>
      </c>
      <c r="BD3" s="5">
        <f>ROUNDUP(Модель!L$13/Константы!$B$6,0)</f>
        <v>1</v>
      </c>
      <c r="BE3" s="18">
        <v>20000</v>
      </c>
      <c r="BF3" s="18">
        <v>20000</v>
      </c>
      <c r="BG3" s="18">
        <f t="shared" ref="BG3:BG7" si="18">(BE3+BF3)*BD3</f>
        <v>40000</v>
      </c>
      <c r="BH3" s="18">
        <f>BE3*(Константы!$B$4+Константы!$B$5)*BD3</f>
        <v>8600.0000000000018</v>
      </c>
      <c r="BI3" s="18">
        <f t="shared" ref="BI3:BI7" si="19">BG3+BH3</f>
        <v>48600</v>
      </c>
      <c r="BJ3" s="35">
        <f>ROUNDUP(Модель!M$13/Константы!$B$6,0)</f>
        <v>1</v>
      </c>
      <c r="BK3" s="18">
        <v>20000</v>
      </c>
      <c r="BL3" s="18">
        <v>20000</v>
      </c>
      <c r="BM3" s="18">
        <f t="shared" ref="BM3:BM7" si="20">(BK3+BL3)*BJ3</f>
        <v>40000</v>
      </c>
      <c r="BN3" s="18">
        <f>BK3*(Константы!$B$4+Константы!$B$5)*BJ3</f>
        <v>8600.0000000000018</v>
      </c>
      <c r="BO3" s="18">
        <f t="shared" ref="BO3:BO7" si="21">BM3+BN3</f>
        <v>48600</v>
      </c>
      <c r="BP3" s="35">
        <f>ROUNDUP(Модель!N$13/Константы!$B$6,0)</f>
        <v>1</v>
      </c>
      <c r="BQ3" s="18">
        <v>20000</v>
      </c>
      <c r="BR3" s="18">
        <v>20000</v>
      </c>
      <c r="BS3" s="18">
        <f t="shared" ref="BS3:BS7" si="22">(BQ3+BR3)*BP3</f>
        <v>40000</v>
      </c>
      <c r="BT3" s="18">
        <f>BQ3*(Константы!$B$4+Константы!$B$5)*BP3</f>
        <v>8600.0000000000018</v>
      </c>
      <c r="BU3" s="18">
        <f t="shared" ref="BU3:BU7" si="23">BS3+BT3</f>
        <v>48600</v>
      </c>
    </row>
    <row r="4" spans="1:73" x14ac:dyDescent="0.25">
      <c r="A4" s="16" t="s">
        <v>51</v>
      </c>
      <c r="B4" s="35">
        <v>1</v>
      </c>
      <c r="C4" s="18">
        <v>20000</v>
      </c>
      <c r="D4" s="18">
        <v>30000</v>
      </c>
      <c r="E4" s="18">
        <f t="shared" si="0"/>
        <v>50000</v>
      </c>
      <c r="F4" s="18">
        <f>C4*(Константы!$B$4+Константы!$B$5)*B4</f>
        <v>8600.0000000000018</v>
      </c>
      <c r="G4" s="18">
        <f t="shared" si="1"/>
        <v>58600</v>
      </c>
      <c r="H4" s="35">
        <v>1</v>
      </c>
      <c r="I4" s="18">
        <v>20000</v>
      </c>
      <c r="J4" s="18">
        <v>30000</v>
      </c>
      <c r="K4" s="18">
        <f t="shared" si="2"/>
        <v>50000</v>
      </c>
      <c r="L4" s="18">
        <f>I4*(Константы!$B$4+Константы!$B$5)*H4</f>
        <v>8600.0000000000018</v>
      </c>
      <c r="M4" s="18">
        <f t="shared" si="3"/>
        <v>58600</v>
      </c>
      <c r="N4" s="35">
        <v>1</v>
      </c>
      <c r="O4" s="18">
        <v>20000</v>
      </c>
      <c r="P4" s="18">
        <v>30000</v>
      </c>
      <c r="Q4" s="18">
        <f t="shared" si="4"/>
        <v>50000</v>
      </c>
      <c r="R4" s="18">
        <f>O4*(Константы!$B$4+Константы!$B$5)*N4</f>
        <v>8600.0000000000018</v>
      </c>
      <c r="S4" s="18">
        <f t="shared" si="5"/>
        <v>58600</v>
      </c>
      <c r="T4" s="35">
        <v>1</v>
      </c>
      <c r="U4" s="18">
        <v>20000</v>
      </c>
      <c r="V4" s="18">
        <v>30000</v>
      </c>
      <c r="W4" s="18">
        <f t="shared" si="6"/>
        <v>50000</v>
      </c>
      <c r="X4" s="18">
        <f>U4*(Константы!$B$4+Константы!$B$5)*T4</f>
        <v>8600.0000000000018</v>
      </c>
      <c r="Y4" s="18">
        <f t="shared" si="7"/>
        <v>58600</v>
      </c>
      <c r="Z4" s="35">
        <v>1</v>
      </c>
      <c r="AA4" s="18">
        <v>20000</v>
      </c>
      <c r="AB4" s="18">
        <v>30000</v>
      </c>
      <c r="AC4" s="18">
        <f t="shared" si="8"/>
        <v>50000</v>
      </c>
      <c r="AD4" s="18">
        <f>AA4*(Константы!$B$4+Константы!$B$5)*Z4</f>
        <v>8600.0000000000018</v>
      </c>
      <c r="AE4" s="18">
        <f t="shared" si="9"/>
        <v>58600</v>
      </c>
      <c r="AF4" s="35">
        <v>1</v>
      </c>
      <c r="AG4" s="18">
        <v>20000</v>
      </c>
      <c r="AH4" s="18">
        <v>30000</v>
      </c>
      <c r="AI4" s="18">
        <f t="shared" si="10"/>
        <v>50000</v>
      </c>
      <c r="AJ4" s="18">
        <f>AG4*(Константы!$B$4+Константы!$B$5)*AF4</f>
        <v>8600.0000000000018</v>
      </c>
      <c r="AK4" s="18">
        <f t="shared" si="11"/>
        <v>58600</v>
      </c>
      <c r="AL4" s="35">
        <v>1</v>
      </c>
      <c r="AM4" s="18">
        <v>20000</v>
      </c>
      <c r="AN4" s="18">
        <v>30000</v>
      </c>
      <c r="AO4" s="18">
        <f t="shared" si="12"/>
        <v>50000</v>
      </c>
      <c r="AP4" s="18">
        <f>AM4*(Константы!$B$4+Константы!$B$5)*AL4</f>
        <v>8600.0000000000018</v>
      </c>
      <c r="AQ4" s="18">
        <f t="shared" si="13"/>
        <v>58600</v>
      </c>
      <c r="AR4" s="35">
        <v>1</v>
      </c>
      <c r="AS4" s="18">
        <v>20000</v>
      </c>
      <c r="AT4" s="18">
        <v>30000</v>
      </c>
      <c r="AU4" s="18">
        <f t="shared" si="14"/>
        <v>50000</v>
      </c>
      <c r="AV4" s="18">
        <f>AS4*(Константы!$B$4+Константы!$B$5)*AR4</f>
        <v>8600.0000000000018</v>
      </c>
      <c r="AW4" s="18">
        <f t="shared" si="15"/>
        <v>58600</v>
      </c>
      <c r="AX4" s="35">
        <v>1</v>
      </c>
      <c r="AY4" s="18">
        <v>20000</v>
      </c>
      <c r="AZ4" s="18">
        <v>30000</v>
      </c>
      <c r="BA4" s="18">
        <f t="shared" si="16"/>
        <v>50000</v>
      </c>
      <c r="BB4" s="18">
        <f>AY4*(Константы!$B$4+Константы!$B$5)*AX4</f>
        <v>8600.0000000000018</v>
      </c>
      <c r="BC4" s="18">
        <f t="shared" si="17"/>
        <v>58600</v>
      </c>
      <c r="BD4" s="5">
        <v>1</v>
      </c>
      <c r="BE4" s="18">
        <v>20000</v>
      </c>
      <c r="BF4" s="18">
        <v>30000</v>
      </c>
      <c r="BG4" s="18">
        <f t="shared" si="18"/>
        <v>50000</v>
      </c>
      <c r="BH4" s="18">
        <f>BE4*(Константы!$B$4+Константы!$B$5)*BD4</f>
        <v>8600.0000000000018</v>
      </c>
      <c r="BI4" s="18">
        <f t="shared" si="19"/>
        <v>58600</v>
      </c>
      <c r="BJ4" s="35">
        <v>1</v>
      </c>
      <c r="BK4" s="18">
        <v>20000</v>
      </c>
      <c r="BL4" s="18">
        <v>30000</v>
      </c>
      <c r="BM4" s="18">
        <f t="shared" si="20"/>
        <v>50000</v>
      </c>
      <c r="BN4" s="18">
        <f>BK4*(Константы!$B$4+Константы!$B$5)*BJ4</f>
        <v>8600.0000000000018</v>
      </c>
      <c r="BO4" s="18">
        <f t="shared" si="21"/>
        <v>58600</v>
      </c>
      <c r="BP4" s="35">
        <v>1</v>
      </c>
      <c r="BQ4" s="18">
        <v>20000</v>
      </c>
      <c r="BR4" s="18">
        <v>30000</v>
      </c>
      <c r="BS4" s="18">
        <f t="shared" si="22"/>
        <v>50000</v>
      </c>
      <c r="BT4" s="18">
        <f>BQ4*(Константы!$B$4+Константы!$B$5)*BP4</f>
        <v>8600.0000000000018</v>
      </c>
      <c r="BU4" s="18">
        <f t="shared" si="23"/>
        <v>58600</v>
      </c>
    </row>
    <row r="5" spans="1:73" x14ac:dyDescent="0.25">
      <c r="A5" s="16" t="s">
        <v>52</v>
      </c>
      <c r="B5" s="35">
        <f>ROUNDUP(B3/Константы!$B$14,0)</f>
        <v>1</v>
      </c>
      <c r="C5" s="18">
        <v>20000</v>
      </c>
      <c r="D5" s="18">
        <v>70000</v>
      </c>
      <c r="E5" s="18">
        <f t="shared" si="0"/>
        <v>90000</v>
      </c>
      <c r="F5" s="18">
        <f>C5*(Константы!$B$4+Константы!$B$5)*B5</f>
        <v>8600.0000000000018</v>
      </c>
      <c r="G5" s="18">
        <f t="shared" si="1"/>
        <v>98600</v>
      </c>
      <c r="H5" s="35">
        <f>ROUNDUP(H3/Константы!$B$14,0)</f>
        <v>1</v>
      </c>
      <c r="I5" s="18">
        <v>20000</v>
      </c>
      <c r="J5" s="18">
        <v>70000</v>
      </c>
      <c r="K5" s="18">
        <f t="shared" si="2"/>
        <v>90000</v>
      </c>
      <c r="L5" s="18">
        <f>I5*(Константы!$B$4+Константы!$B$5)*H5</f>
        <v>8600.0000000000018</v>
      </c>
      <c r="M5" s="18">
        <f t="shared" si="3"/>
        <v>98600</v>
      </c>
      <c r="N5" s="35">
        <f>ROUNDUP(N3/Константы!$B$14,0)</f>
        <v>1</v>
      </c>
      <c r="O5" s="18">
        <v>20000</v>
      </c>
      <c r="P5" s="18">
        <v>70000</v>
      </c>
      <c r="Q5" s="18">
        <f t="shared" si="4"/>
        <v>90000</v>
      </c>
      <c r="R5" s="18">
        <f>O5*(Константы!$B$4+Константы!$B$5)*N5</f>
        <v>8600.0000000000018</v>
      </c>
      <c r="S5" s="18">
        <f t="shared" si="5"/>
        <v>98600</v>
      </c>
      <c r="T5" s="35">
        <f>ROUNDUP(T3/Константы!$B$14,0)</f>
        <v>1</v>
      </c>
      <c r="U5" s="18">
        <v>20000</v>
      </c>
      <c r="V5" s="18">
        <v>70000</v>
      </c>
      <c r="W5" s="18">
        <f t="shared" si="6"/>
        <v>90000</v>
      </c>
      <c r="X5" s="18">
        <f>U5*(Константы!$B$4+Константы!$B$5)*T5</f>
        <v>8600.0000000000018</v>
      </c>
      <c r="Y5" s="18">
        <f t="shared" si="7"/>
        <v>98600</v>
      </c>
      <c r="Z5" s="35">
        <f>ROUNDUP(Z3/Константы!$B$14,0)</f>
        <v>1</v>
      </c>
      <c r="AA5" s="18">
        <v>20000</v>
      </c>
      <c r="AB5" s="18">
        <v>70000</v>
      </c>
      <c r="AC5" s="18">
        <f t="shared" si="8"/>
        <v>90000</v>
      </c>
      <c r="AD5" s="18">
        <f>AA5*(Константы!$B$4+Константы!$B$5)*Z5</f>
        <v>8600.0000000000018</v>
      </c>
      <c r="AE5" s="18">
        <f t="shared" si="9"/>
        <v>98600</v>
      </c>
      <c r="AF5" s="35">
        <f>ROUNDUP(AF3/Константы!$B$14,0)</f>
        <v>1</v>
      </c>
      <c r="AG5" s="18">
        <v>20000</v>
      </c>
      <c r="AH5" s="18">
        <v>70000</v>
      </c>
      <c r="AI5" s="18">
        <f t="shared" si="10"/>
        <v>90000</v>
      </c>
      <c r="AJ5" s="18">
        <f>AG5*(Константы!$B$4+Константы!$B$5)*AF5</f>
        <v>8600.0000000000018</v>
      </c>
      <c r="AK5" s="18">
        <f t="shared" si="11"/>
        <v>98600</v>
      </c>
      <c r="AL5" s="35">
        <f>ROUNDUP(AL3/Константы!$B$14,0)</f>
        <v>1</v>
      </c>
      <c r="AM5" s="18">
        <v>20000</v>
      </c>
      <c r="AN5" s="18">
        <v>70000</v>
      </c>
      <c r="AO5" s="18">
        <f t="shared" si="12"/>
        <v>90000</v>
      </c>
      <c r="AP5" s="18">
        <f>AM5*(Константы!$B$4+Константы!$B$5)*AL5</f>
        <v>8600.0000000000018</v>
      </c>
      <c r="AQ5" s="18">
        <f t="shared" si="13"/>
        <v>98600</v>
      </c>
      <c r="AR5" s="35">
        <f>ROUNDUP(AR3/Константы!$B$14,0)</f>
        <v>1</v>
      </c>
      <c r="AS5" s="18">
        <v>20000</v>
      </c>
      <c r="AT5" s="18">
        <v>70000</v>
      </c>
      <c r="AU5" s="18">
        <f t="shared" si="14"/>
        <v>90000</v>
      </c>
      <c r="AV5" s="18">
        <f>AS5*(Константы!$B$4+Константы!$B$5)*AR5</f>
        <v>8600.0000000000018</v>
      </c>
      <c r="AW5" s="18">
        <f t="shared" si="15"/>
        <v>98600</v>
      </c>
      <c r="AX5" s="35">
        <f>ROUNDUP(AX3/Константы!$B$14,0)</f>
        <v>1</v>
      </c>
      <c r="AY5" s="18">
        <v>20000</v>
      </c>
      <c r="AZ5" s="18">
        <v>70000</v>
      </c>
      <c r="BA5" s="18">
        <f t="shared" si="16"/>
        <v>90000</v>
      </c>
      <c r="BB5" s="18">
        <f>AY5*(Константы!$B$4+Константы!$B$5)*AX5</f>
        <v>8600.0000000000018</v>
      </c>
      <c r="BC5" s="18">
        <f t="shared" si="17"/>
        <v>98600</v>
      </c>
      <c r="BD5" s="5">
        <f>ROUNDUP(BD3/Константы!$B$14,0)</f>
        <v>1</v>
      </c>
      <c r="BE5" s="18">
        <v>20000</v>
      </c>
      <c r="BF5" s="18">
        <v>70000</v>
      </c>
      <c r="BG5" s="18">
        <f t="shared" si="18"/>
        <v>90000</v>
      </c>
      <c r="BH5" s="18">
        <f>BE5*(Константы!$B$4+Константы!$B$5)*BD5</f>
        <v>8600.0000000000018</v>
      </c>
      <c r="BI5" s="18">
        <f t="shared" si="19"/>
        <v>98600</v>
      </c>
      <c r="BJ5" s="35">
        <f>ROUNDUP(BJ3/Константы!$B$14,0)</f>
        <v>1</v>
      </c>
      <c r="BK5" s="18">
        <v>20000</v>
      </c>
      <c r="BL5" s="18">
        <v>70000</v>
      </c>
      <c r="BM5" s="18">
        <f t="shared" si="20"/>
        <v>90000</v>
      </c>
      <c r="BN5" s="18">
        <f>BK5*(Константы!$B$4+Константы!$B$5)*BJ5</f>
        <v>8600.0000000000018</v>
      </c>
      <c r="BO5" s="18">
        <f t="shared" si="21"/>
        <v>98600</v>
      </c>
      <c r="BP5" s="35">
        <f>ROUNDUP(BP3/Константы!$B$14,0)</f>
        <v>1</v>
      </c>
      <c r="BQ5" s="18">
        <v>20000</v>
      </c>
      <c r="BR5" s="18">
        <v>70000</v>
      </c>
      <c r="BS5" s="18">
        <f t="shared" si="22"/>
        <v>90000</v>
      </c>
      <c r="BT5" s="18">
        <f>BQ5*(Константы!$B$4+Константы!$B$5)*BP5</f>
        <v>8600.0000000000018</v>
      </c>
      <c r="BU5" s="18">
        <f t="shared" si="23"/>
        <v>98600</v>
      </c>
    </row>
    <row r="6" spans="1:73" x14ac:dyDescent="0.25">
      <c r="A6" s="16" t="s">
        <v>53</v>
      </c>
      <c r="B6" s="35"/>
      <c r="C6" s="18"/>
      <c r="D6" s="18"/>
      <c r="E6" s="18"/>
      <c r="F6" s="18"/>
      <c r="G6" s="18"/>
      <c r="H6" s="35"/>
      <c r="I6" s="18"/>
      <c r="J6" s="18"/>
      <c r="K6" s="18"/>
      <c r="L6" s="18"/>
      <c r="M6" s="18"/>
      <c r="N6" s="35"/>
      <c r="O6" s="18"/>
      <c r="P6" s="18"/>
      <c r="Q6" s="18"/>
      <c r="R6" s="18"/>
      <c r="S6" s="18"/>
      <c r="T6" s="35"/>
      <c r="U6" s="18"/>
      <c r="V6" s="18"/>
      <c r="W6" s="18"/>
      <c r="X6" s="18"/>
      <c r="Y6" s="18"/>
      <c r="Z6" s="35">
        <v>1</v>
      </c>
      <c r="AA6" s="18">
        <v>20000</v>
      </c>
      <c r="AB6" s="18">
        <v>130000</v>
      </c>
      <c r="AC6" s="18">
        <f t="shared" si="8"/>
        <v>150000</v>
      </c>
      <c r="AD6" s="18">
        <f>AA6*(Константы!$B$4+Константы!$B$5)*Z6</f>
        <v>8600.0000000000018</v>
      </c>
      <c r="AE6" s="18">
        <f t="shared" si="9"/>
        <v>158600</v>
      </c>
      <c r="AF6" s="35">
        <v>1</v>
      </c>
      <c r="AG6" s="18">
        <v>20000</v>
      </c>
      <c r="AH6" s="18">
        <v>130000</v>
      </c>
      <c r="AI6" s="18">
        <f t="shared" si="10"/>
        <v>150000</v>
      </c>
      <c r="AJ6" s="18">
        <f>AG6*(Константы!$B$4+Константы!$B$5)*AF6</f>
        <v>8600.0000000000018</v>
      </c>
      <c r="AK6" s="18">
        <f t="shared" si="11"/>
        <v>158600</v>
      </c>
      <c r="AL6" s="35">
        <v>1</v>
      </c>
      <c r="AM6" s="18">
        <v>20000</v>
      </c>
      <c r="AN6" s="18">
        <v>130000</v>
      </c>
      <c r="AO6" s="18">
        <f t="shared" si="12"/>
        <v>150000</v>
      </c>
      <c r="AP6" s="18">
        <f>AM6*(Константы!$B$4+Константы!$B$5)*AL6</f>
        <v>8600.0000000000018</v>
      </c>
      <c r="AQ6" s="18">
        <f t="shared" si="13"/>
        <v>158600</v>
      </c>
      <c r="AR6" s="35">
        <v>1</v>
      </c>
      <c r="AS6" s="18">
        <v>20000</v>
      </c>
      <c r="AT6" s="18">
        <v>130000</v>
      </c>
      <c r="AU6" s="18">
        <f t="shared" si="14"/>
        <v>150000</v>
      </c>
      <c r="AV6" s="18">
        <f>AS6*(Константы!$B$4+Константы!$B$5)*AR6</f>
        <v>8600.0000000000018</v>
      </c>
      <c r="AW6" s="18">
        <f t="shared" si="15"/>
        <v>158600</v>
      </c>
      <c r="AX6" s="35">
        <v>1</v>
      </c>
      <c r="AY6" s="18">
        <v>20000</v>
      </c>
      <c r="AZ6" s="18">
        <v>130000</v>
      </c>
      <c r="BA6" s="18">
        <f t="shared" si="16"/>
        <v>150000</v>
      </c>
      <c r="BB6" s="18">
        <f>AY6*(Константы!$B$4+Константы!$B$5)*AX6</f>
        <v>8600.0000000000018</v>
      </c>
      <c r="BC6" s="18">
        <f t="shared" si="17"/>
        <v>158600</v>
      </c>
      <c r="BD6" s="5">
        <v>1</v>
      </c>
      <c r="BE6" s="18">
        <v>20000</v>
      </c>
      <c r="BF6" s="18">
        <v>130000</v>
      </c>
      <c r="BG6" s="18">
        <f t="shared" si="18"/>
        <v>150000</v>
      </c>
      <c r="BH6" s="18">
        <f>BE6*(Константы!$B$4+Константы!$B$5)*BD6</f>
        <v>8600.0000000000018</v>
      </c>
      <c r="BI6" s="18">
        <f t="shared" si="19"/>
        <v>158600</v>
      </c>
      <c r="BJ6" s="35">
        <v>1</v>
      </c>
      <c r="BK6" s="18">
        <v>20000</v>
      </c>
      <c r="BL6" s="18">
        <v>130000</v>
      </c>
      <c r="BM6" s="18">
        <f t="shared" si="20"/>
        <v>150000</v>
      </c>
      <c r="BN6" s="18">
        <f>BK6*(Константы!$B$4+Константы!$B$5)*BJ6</f>
        <v>8600.0000000000018</v>
      </c>
      <c r="BO6" s="18">
        <f t="shared" si="21"/>
        <v>158600</v>
      </c>
      <c r="BP6" s="35">
        <v>1</v>
      </c>
      <c r="BQ6" s="18">
        <v>20000</v>
      </c>
      <c r="BR6" s="18">
        <v>130000</v>
      </c>
      <c r="BS6" s="18">
        <f t="shared" si="22"/>
        <v>150000</v>
      </c>
      <c r="BT6" s="18">
        <f>BQ6*(Константы!$B$4+Константы!$B$5)*BP6</f>
        <v>8600.0000000000018</v>
      </c>
      <c r="BU6" s="18">
        <f t="shared" si="23"/>
        <v>158600</v>
      </c>
    </row>
    <row r="7" spans="1:73" x14ac:dyDescent="0.25">
      <c r="A7" s="16" t="s">
        <v>54</v>
      </c>
      <c r="B7" s="35">
        <f>ROUNDUP(B3/Константы!$B$15,0)</f>
        <v>1</v>
      </c>
      <c r="C7" s="18">
        <v>20000</v>
      </c>
      <c r="D7" s="18">
        <v>30000</v>
      </c>
      <c r="E7" s="18">
        <f>(C7+D7)*B7</f>
        <v>50000</v>
      </c>
      <c r="F7" s="18">
        <f>C7*(Константы!$B$4+Константы!$B$5)*B7</f>
        <v>8600.0000000000018</v>
      </c>
      <c r="G7" s="18">
        <f>E7+F7</f>
        <v>58600</v>
      </c>
      <c r="H7" s="35">
        <f>ROUNDUP(H3/Константы!$B$15,0)</f>
        <v>1</v>
      </c>
      <c r="I7" s="18">
        <v>20000</v>
      </c>
      <c r="J7" s="18">
        <v>30000</v>
      </c>
      <c r="K7" s="18">
        <f>(I7+J7)*H7</f>
        <v>50000</v>
      </c>
      <c r="L7" s="18">
        <f>I7*(Константы!$B$4+Константы!$B$5)*H7</f>
        <v>8600.0000000000018</v>
      </c>
      <c r="M7" s="18">
        <f>K7+L7</f>
        <v>58600</v>
      </c>
      <c r="N7" s="35">
        <f>ROUNDUP(N3/Константы!$B$15,0)</f>
        <v>1</v>
      </c>
      <c r="O7" s="18">
        <v>20000</v>
      </c>
      <c r="P7" s="18">
        <v>30000</v>
      </c>
      <c r="Q7" s="18">
        <f>(O7+P7)*N7</f>
        <v>50000</v>
      </c>
      <c r="R7" s="18">
        <f>O7*(Константы!$B$4+Константы!$B$5)*N7</f>
        <v>8600.0000000000018</v>
      </c>
      <c r="S7" s="18">
        <f>Q7+R7</f>
        <v>58600</v>
      </c>
      <c r="T7" s="35">
        <f>ROUNDUP(T3/Константы!$B$15,0)</f>
        <v>1</v>
      </c>
      <c r="U7" s="18">
        <v>20000</v>
      </c>
      <c r="V7" s="18">
        <v>30000</v>
      </c>
      <c r="W7" s="18">
        <f>(U7+V7)*T7</f>
        <v>50000</v>
      </c>
      <c r="X7" s="18">
        <f>U7*(Константы!$B$4+Константы!$B$5)*T7</f>
        <v>8600.0000000000018</v>
      </c>
      <c r="Y7" s="18">
        <f>W7+X7</f>
        <v>58600</v>
      </c>
      <c r="Z7" s="35">
        <f>ROUNDUP(Z3/Константы!$B$15,0)</f>
        <v>1</v>
      </c>
      <c r="AA7" s="18">
        <v>20000</v>
      </c>
      <c r="AB7" s="18">
        <v>30000</v>
      </c>
      <c r="AC7" s="18">
        <f t="shared" si="8"/>
        <v>50000</v>
      </c>
      <c r="AD7" s="18">
        <f>AA7*(Константы!$B$4+Константы!$B$5)*Z7</f>
        <v>8600.0000000000018</v>
      </c>
      <c r="AE7" s="18">
        <f t="shared" si="9"/>
        <v>58600</v>
      </c>
      <c r="AF7" s="35">
        <f>ROUNDUP(AF3/Константы!$B$15,0)</f>
        <v>1</v>
      </c>
      <c r="AG7" s="18">
        <v>20000</v>
      </c>
      <c r="AH7" s="18">
        <v>30000</v>
      </c>
      <c r="AI7" s="18">
        <f t="shared" si="10"/>
        <v>50000</v>
      </c>
      <c r="AJ7" s="18">
        <f>AG7*(Константы!$B$4+Константы!$B$5)*AF7</f>
        <v>8600.0000000000018</v>
      </c>
      <c r="AK7" s="18">
        <f t="shared" si="11"/>
        <v>58600</v>
      </c>
      <c r="AL7" s="35">
        <f>ROUNDUP(AL3/Константы!$B$15,0)</f>
        <v>1</v>
      </c>
      <c r="AM7" s="18">
        <v>20000</v>
      </c>
      <c r="AN7" s="18">
        <v>30000</v>
      </c>
      <c r="AO7" s="18">
        <f t="shared" si="12"/>
        <v>50000</v>
      </c>
      <c r="AP7" s="18">
        <f>AM7*(Константы!$B$4+Константы!$B$5)*AL7</f>
        <v>8600.0000000000018</v>
      </c>
      <c r="AQ7" s="18">
        <f t="shared" si="13"/>
        <v>58600</v>
      </c>
      <c r="AR7" s="35">
        <f>ROUNDUP(AR3/Константы!$B$15,0)</f>
        <v>1</v>
      </c>
      <c r="AS7" s="18">
        <v>20000</v>
      </c>
      <c r="AT7" s="18">
        <v>30000</v>
      </c>
      <c r="AU7" s="18">
        <f t="shared" si="14"/>
        <v>50000</v>
      </c>
      <c r="AV7" s="18">
        <f>AS7*(Константы!$B$4+Константы!$B$5)*AR7</f>
        <v>8600.0000000000018</v>
      </c>
      <c r="AW7" s="18">
        <f t="shared" si="15"/>
        <v>58600</v>
      </c>
      <c r="AX7" s="35">
        <f>ROUNDUP(AX3/Константы!$B$15,0)</f>
        <v>1</v>
      </c>
      <c r="AY7" s="18">
        <v>20000</v>
      </c>
      <c r="AZ7" s="18">
        <v>30000</v>
      </c>
      <c r="BA7" s="18">
        <f t="shared" si="16"/>
        <v>50000</v>
      </c>
      <c r="BB7" s="18">
        <f>AY7*(Константы!$B$4+Константы!$B$5)*AX7</f>
        <v>8600.0000000000018</v>
      </c>
      <c r="BC7" s="18">
        <f t="shared" si="17"/>
        <v>58600</v>
      </c>
      <c r="BD7" s="5">
        <f>ROUNDUP(BD3/Константы!$B$15,0)</f>
        <v>1</v>
      </c>
      <c r="BE7" s="18">
        <v>20000</v>
      </c>
      <c r="BF7" s="18">
        <v>30000</v>
      </c>
      <c r="BG7" s="18">
        <f t="shared" si="18"/>
        <v>50000</v>
      </c>
      <c r="BH7" s="18">
        <f>BE7*(Константы!$B$4+Константы!$B$5)*BD7</f>
        <v>8600.0000000000018</v>
      </c>
      <c r="BI7" s="18">
        <f t="shared" si="19"/>
        <v>58600</v>
      </c>
      <c r="BJ7" s="35">
        <f>ROUNDUP(BJ3/Константы!$B$15,0)</f>
        <v>1</v>
      </c>
      <c r="BK7" s="18">
        <v>20000</v>
      </c>
      <c r="BL7" s="18">
        <v>30000</v>
      </c>
      <c r="BM7" s="18">
        <f t="shared" si="20"/>
        <v>50000</v>
      </c>
      <c r="BN7" s="18">
        <f>BK7*(Константы!$B$4+Константы!$B$5)*BJ7</f>
        <v>8600.0000000000018</v>
      </c>
      <c r="BO7" s="18">
        <f t="shared" si="21"/>
        <v>58600</v>
      </c>
      <c r="BP7" s="35">
        <f>ROUNDUP(BP3/Константы!$B$15,0)</f>
        <v>1</v>
      </c>
      <c r="BQ7" s="18">
        <v>20000</v>
      </c>
      <c r="BR7" s="18">
        <v>30000</v>
      </c>
      <c r="BS7" s="18">
        <f t="shared" si="22"/>
        <v>50000</v>
      </c>
      <c r="BT7" s="18">
        <f>BQ7*(Константы!$B$4+Константы!$B$5)*BP7</f>
        <v>8600.0000000000018</v>
      </c>
      <c r="BU7" s="18">
        <f t="shared" si="23"/>
        <v>58600</v>
      </c>
    </row>
    <row r="8" spans="1:73" x14ac:dyDescent="0.25">
      <c r="A8" s="5"/>
      <c r="B8" s="35"/>
      <c r="C8" s="18"/>
      <c r="D8" s="18"/>
      <c r="E8" s="18"/>
      <c r="F8" s="18"/>
      <c r="G8" s="18"/>
      <c r="H8" s="35"/>
      <c r="I8" s="18"/>
      <c r="J8" s="18"/>
      <c r="K8" s="18"/>
      <c r="L8" s="18"/>
      <c r="M8" s="18"/>
      <c r="N8" s="35"/>
      <c r="O8" s="18"/>
      <c r="P8" s="18"/>
      <c r="Q8" s="18"/>
      <c r="R8" s="18"/>
      <c r="S8" s="18"/>
      <c r="T8" s="35"/>
      <c r="U8" s="18"/>
      <c r="V8" s="18"/>
      <c r="W8" s="18"/>
      <c r="X8" s="18"/>
      <c r="Y8" s="18"/>
      <c r="Z8" s="35"/>
      <c r="AA8" s="18"/>
      <c r="AB8" s="18"/>
      <c r="AC8" s="18"/>
      <c r="AD8" s="18"/>
      <c r="AE8" s="18"/>
      <c r="AF8" s="35"/>
      <c r="AG8" s="18"/>
      <c r="AH8" s="18"/>
      <c r="AI8" s="18"/>
      <c r="AJ8" s="18"/>
      <c r="AK8" s="18"/>
      <c r="AL8" s="35"/>
      <c r="AM8" s="18"/>
      <c r="AN8" s="18"/>
      <c r="AO8" s="18"/>
      <c r="AP8" s="18"/>
      <c r="AQ8" s="18"/>
      <c r="AR8" s="35"/>
      <c r="AS8" s="18"/>
      <c r="AT8" s="18"/>
      <c r="AU8" s="18"/>
      <c r="AV8" s="18"/>
      <c r="AW8" s="18"/>
      <c r="AX8" s="35"/>
      <c r="AY8" s="18"/>
      <c r="AZ8" s="18"/>
      <c r="BA8" s="18"/>
      <c r="BB8" s="18"/>
      <c r="BC8" s="18"/>
      <c r="BD8" s="5"/>
      <c r="BE8" s="18"/>
      <c r="BF8" s="18"/>
      <c r="BG8" s="18"/>
      <c r="BH8" s="18"/>
      <c r="BI8" s="18"/>
      <c r="BJ8" s="35"/>
      <c r="BK8" s="18"/>
      <c r="BL8" s="18"/>
      <c r="BM8" s="18"/>
      <c r="BN8" s="18"/>
      <c r="BO8" s="18"/>
      <c r="BP8" s="35"/>
      <c r="BQ8" s="18"/>
      <c r="BR8" s="18"/>
      <c r="BS8" s="18"/>
      <c r="BT8" s="18"/>
      <c r="BU8" s="18"/>
    </row>
    <row r="9" spans="1:73" x14ac:dyDescent="0.25">
      <c r="A9" s="29" t="s">
        <v>55</v>
      </c>
      <c r="B9" s="36">
        <f>SUM(B3:B8)</f>
        <v>4</v>
      </c>
      <c r="C9" s="37">
        <f>SUMPRODUCT(B3:B8,C3:C8)</f>
        <v>80000</v>
      </c>
      <c r="D9" s="37">
        <f>SUMPRODUCT(B3:B8,D3:D8)</f>
        <v>150000</v>
      </c>
      <c r="E9" s="37">
        <f>SUM(E3:E8)</f>
        <v>230000</v>
      </c>
      <c r="F9" s="37">
        <f>SUM(F3:F8)</f>
        <v>34400.000000000007</v>
      </c>
      <c r="G9" s="37">
        <f>SUM(G3:G8)</f>
        <v>264400</v>
      </c>
      <c r="H9" s="36">
        <f>SUM(H3:H8)</f>
        <v>4</v>
      </c>
      <c r="I9" s="37">
        <f>SUMPRODUCT(H3:H8,I3:I8)</f>
        <v>80000</v>
      </c>
      <c r="J9" s="37">
        <f>SUMPRODUCT(H3:H8,J3:J8)</f>
        <v>150000</v>
      </c>
      <c r="K9" s="37">
        <f>SUM(K3:K8)</f>
        <v>230000</v>
      </c>
      <c r="L9" s="37">
        <f>SUM(L3:L8)</f>
        <v>34400.000000000007</v>
      </c>
      <c r="M9" s="37">
        <f>SUM(M3:M8)</f>
        <v>264400</v>
      </c>
      <c r="N9" s="36">
        <f>SUM(N3:N8)</f>
        <v>4</v>
      </c>
      <c r="O9" s="37">
        <f>SUMPRODUCT(N3:N8,O3:O8)</f>
        <v>80000</v>
      </c>
      <c r="P9" s="37">
        <f>SUMPRODUCT(N3:N8,P3:P8)</f>
        <v>150000</v>
      </c>
      <c r="Q9" s="37">
        <f>SUM(Q3:Q8)</f>
        <v>230000</v>
      </c>
      <c r="R9" s="37">
        <f>SUM(R3:R8)</f>
        <v>34400.000000000007</v>
      </c>
      <c r="S9" s="37">
        <f>SUM(S3:S8)</f>
        <v>264400</v>
      </c>
      <c r="T9" s="36">
        <f>SUM(T3:T8)</f>
        <v>4</v>
      </c>
      <c r="U9" s="37">
        <f>SUMPRODUCT(T3:T8,U3:U8)</f>
        <v>80000</v>
      </c>
      <c r="V9" s="37">
        <f>SUMPRODUCT(T3:T8,V3:V8)</f>
        <v>150000</v>
      </c>
      <c r="W9" s="37">
        <f>SUM(W3:W8)</f>
        <v>230000</v>
      </c>
      <c r="X9" s="37">
        <f>SUM(X3:X8)</f>
        <v>34400.000000000007</v>
      </c>
      <c r="Y9" s="37">
        <f>SUM(Y3:Y8)</f>
        <v>264400</v>
      </c>
      <c r="Z9" s="36">
        <f>SUM(Z3:Z8)</f>
        <v>5</v>
      </c>
      <c r="AA9" s="37">
        <f>SUMPRODUCT(Z3:Z8,AA3:AA8)</f>
        <v>100000</v>
      </c>
      <c r="AB9" s="37">
        <f>SUMPRODUCT(Z3:Z8,AB3:AB8)</f>
        <v>280000</v>
      </c>
      <c r="AC9" s="37">
        <f>SUM(AC3:AC8)</f>
        <v>380000</v>
      </c>
      <c r="AD9" s="37">
        <f>SUM(AD3:AD8)</f>
        <v>43000.000000000007</v>
      </c>
      <c r="AE9" s="37">
        <f>SUM(AE3:AE8)</f>
        <v>423000</v>
      </c>
      <c r="AF9" s="36">
        <f>SUM(AF3:AF8)</f>
        <v>5</v>
      </c>
      <c r="AG9" s="37">
        <f>SUMPRODUCT(AF3:AF8,AG3:AG8)</f>
        <v>100000</v>
      </c>
      <c r="AH9" s="37">
        <f>SUMPRODUCT(AF3:AF8,AH3:AH8)</f>
        <v>280000</v>
      </c>
      <c r="AI9" s="37">
        <f>SUM(AI3:AI8)</f>
        <v>380000</v>
      </c>
      <c r="AJ9" s="37">
        <f>SUM(AJ3:AJ8)</f>
        <v>43000.000000000007</v>
      </c>
      <c r="AK9" s="37">
        <f>SUM(AK3:AK8)</f>
        <v>423000</v>
      </c>
      <c r="AL9" s="36">
        <f>SUM(AL3:AL8)</f>
        <v>5</v>
      </c>
      <c r="AM9" s="37">
        <f>SUMPRODUCT(AL3:AL8,AM3:AM8)</f>
        <v>100000</v>
      </c>
      <c r="AN9" s="37">
        <f>SUMPRODUCT(AL3:AL8,AN3:AN8)</f>
        <v>280000</v>
      </c>
      <c r="AO9" s="37">
        <f>SUM(AO3:AO8)</f>
        <v>380000</v>
      </c>
      <c r="AP9" s="37">
        <f>SUM(AP3:AP8)</f>
        <v>43000.000000000007</v>
      </c>
      <c r="AQ9" s="37">
        <f>SUM(AQ3:AQ8)</f>
        <v>423000</v>
      </c>
      <c r="AR9" s="36">
        <f>SUM(AR3:AR8)</f>
        <v>5</v>
      </c>
      <c r="AS9" s="37">
        <f>SUMPRODUCT(AR3:AR8,AS3:AS8)</f>
        <v>100000</v>
      </c>
      <c r="AT9" s="37">
        <f>SUMPRODUCT(AR3:AR8,AT3:AT8)</f>
        <v>280000</v>
      </c>
      <c r="AU9" s="37">
        <f>SUM(AU3:AU8)</f>
        <v>380000</v>
      </c>
      <c r="AV9" s="37">
        <f>SUM(AV3:AV8)</f>
        <v>43000.000000000007</v>
      </c>
      <c r="AW9" s="37">
        <f>SUM(AW3:AW8)</f>
        <v>423000</v>
      </c>
      <c r="AX9" s="36">
        <f>SUM(AX3:AX8)</f>
        <v>5</v>
      </c>
      <c r="AY9" s="37">
        <f>SUMPRODUCT(AX3:AX8,AY3:AY8)</f>
        <v>100000</v>
      </c>
      <c r="AZ9" s="37">
        <f>SUMPRODUCT(AX3:AX8,AZ3:AZ8)</f>
        <v>280000</v>
      </c>
      <c r="BA9" s="37">
        <f>SUM(BA3:BA8)</f>
        <v>380000</v>
      </c>
      <c r="BB9" s="37">
        <f>SUM(BB3:BB8)</f>
        <v>43000.000000000007</v>
      </c>
      <c r="BC9" s="37">
        <f>SUM(BC3:BC8)</f>
        <v>423000</v>
      </c>
      <c r="BD9" s="29">
        <f>SUM(BD3:BD8)</f>
        <v>5</v>
      </c>
      <c r="BE9" s="37">
        <f>SUMPRODUCT(BD3:BD8,BE3:BE8)</f>
        <v>100000</v>
      </c>
      <c r="BF9" s="37">
        <f>SUMPRODUCT(BD3:BD8,BF3:BF8)</f>
        <v>280000</v>
      </c>
      <c r="BG9" s="37">
        <f>SUM(BG3:BG8)</f>
        <v>380000</v>
      </c>
      <c r="BH9" s="37">
        <f>SUM(BH3:BH8)</f>
        <v>43000.000000000007</v>
      </c>
      <c r="BI9" s="37">
        <f>SUM(BI3:BI8)</f>
        <v>423000</v>
      </c>
      <c r="BJ9" s="36">
        <f>SUM(BJ3:BJ8)</f>
        <v>5</v>
      </c>
      <c r="BK9" s="37">
        <f>SUMPRODUCT(BJ3:BJ8,BK3:BK8)</f>
        <v>100000</v>
      </c>
      <c r="BL9" s="37">
        <f>SUMPRODUCT(BJ3:BJ8,BL3:BL8)</f>
        <v>280000</v>
      </c>
      <c r="BM9" s="37">
        <f>SUM(BM3:BM8)</f>
        <v>380000</v>
      </c>
      <c r="BN9" s="37">
        <f>SUM(BN3:BN8)</f>
        <v>43000.000000000007</v>
      </c>
      <c r="BO9" s="37">
        <f>SUM(BO3:BO8)</f>
        <v>423000</v>
      </c>
      <c r="BP9" s="36">
        <f>SUM(BP3:BP8)</f>
        <v>5</v>
      </c>
      <c r="BQ9" s="37">
        <f>SUMPRODUCT(BP3:BP8,BQ3:BQ8)</f>
        <v>100000</v>
      </c>
      <c r="BR9" s="37">
        <f>SUMPRODUCT(BP3:BP8,BR3:BR8)</f>
        <v>280000</v>
      </c>
      <c r="BS9" s="37">
        <f>SUM(BS3:BS8)</f>
        <v>380000</v>
      </c>
      <c r="BT9" s="37">
        <f>SUM(BT3:BT8)</f>
        <v>43000.000000000007</v>
      </c>
      <c r="BU9" s="37">
        <f>SUM(BU3:BU8)</f>
        <v>423000</v>
      </c>
    </row>
    <row r="10" spans="1:73" x14ac:dyDescent="0.25">
      <c r="A10" s="5"/>
      <c r="B10" s="35"/>
      <c r="C10" s="5"/>
      <c r="D10" s="5"/>
      <c r="E10" s="5"/>
      <c r="F10" s="5"/>
      <c r="G10" s="5"/>
      <c r="H10" s="35"/>
      <c r="I10" s="5"/>
      <c r="J10" s="5"/>
      <c r="K10" s="5"/>
      <c r="L10" s="5"/>
      <c r="M10" s="5"/>
      <c r="N10" s="35"/>
      <c r="O10" s="5"/>
      <c r="P10" s="5"/>
      <c r="Q10" s="5"/>
      <c r="R10" s="5"/>
      <c r="S10" s="5"/>
      <c r="T10" s="35"/>
      <c r="U10" s="5"/>
      <c r="V10" s="5"/>
      <c r="W10" s="5"/>
      <c r="X10" s="5"/>
      <c r="Y10" s="5"/>
      <c r="Z10" s="35"/>
      <c r="AA10" s="5"/>
      <c r="AB10" s="5"/>
      <c r="AC10" s="5"/>
      <c r="AD10" s="5"/>
      <c r="AE10" s="5"/>
      <c r="AF10" s="35"/>
      <c r="AG10" s="5"/>
      <c r="AH10" s="5"/>
      <c r="AI10" s="5"/>
      <c r="AJ10" s="5"/>
      <c r="AK10" s="5"/>
      <c r="AL10" s="35"/>
      <c r="AM10" s="5"/>
      <c r="AN10" s="5"/>
      <c r="AO10" s="5"/>
      <c r="AP10" s="5"/>
      <c r="AQ10" s="5"/>
      <c r="AR10" s="35"/>
      <c r="AS10" s="5"/>
      <c r="AT10" s="5"/>
      <c r="AU10" s="5"/>
      <c r="AV10" s="5"/>
      <c r="AW10" s="5"/>
      <c r="AX10" s="3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35"/>
      <c r="BK10" s="5"/>
      <c r="BL10" s="5"/>
      <c r="BM10" s="5"/>
      <c r="BN10" s="5"/>
      <c r="BO10" s="5"/>
      <c r="BP10" s="35"/>
      <c r="BQ10" s="5"/>
      <c r="BR10" s="5"/>
      <c r="BS10" s="5"/>
      <c r="BT10" s="5"/>
      <c r="BU10" s="5"/>
    </row>
    <row r="11" spans="1:73" x14ac:dyDescent="0.25">
      <c r="A11" s="16" t="s">
        <v>87</v>
      </c>
      <c r="B11" s="35">
        <f>ROUNDUP(Модель!C$13/Константы!$B$7,0)</f>
        <v>1</v>
      </c>
      <c r="C11" s="18">
        <v>15000</v>
      </c>
      <c r="D11" s="18">
        <v>40000</v>
      </c>
      <c r="E11" s="18">
        <f>(C11+D11)*B11</f>
        <v>55000</v>
      </c>
      <c r="F11" s="18">
        <f>C11*(Константы!$B$4+Константы!$B$5)*B11</f>
        <v>6450.0000000000009</v>
      </c>
      <c r="G11" s="18">
        <f>E11+F11</f>
        <v>61450</v>
      </c>
      <c r="H11" s="35">
        <f>ROUNDUP(Модель!D$13/Константы!$B$7,0)</f>
        <v>1</v>
      </c>
      <c r="I11" s="18">
        <v>15000</v>
      </c>
      <c r="J11" s="18">
        <v>40000</v>
      </c>
      <c r="K11" s="18">
        <f>(I11+J11)*H11</f>
        <v>55000</v>
      </c>
      <c r="L11" s="18">
        <f>I11*(Константы!$B$4+Константы!$B$5)*H11</f>
        <v>6450.0000000000009</v>
      </c>
      <c r="M11" s="18">
        <f>K11+L11</f>
        <v>61450</v>
      </c>
      <c r="N11" s="35">
        <f>ROUNDUP(Модель!E$13/Константы!$B$7,0)</f>
        <v>1</v>
      </c>
      <c r="O11" s="18">
        <v>15000</v>
      </c>
      <c r="P11" s="18">
        <v>40000</v>
      </c>
      <c r="Q11" s="18">
        <f>(O11+P11)*N11</f>
        <v>55000</v>
      </c>
      <c r="R11" s="18">
        <f>O11*(Константы!$B$4+Константы!$B$5)*N11</f>
        <v>6450.0000000000009</v>
      </c>
      <c r="S11" s="18">
        <f>Q11+R11</f>
        <v>61450</v>
      </c>
      <c r="T11" s="35">
        <f>ROUNDUP(Модель!F$13/Константы!$B$7,0)</f>
        <v>1</v>
      </c>
      <c r="U11" s="18">
        <v>15000</v>
      </c>
      <c r="V11" s="18">
        <v>40000</v>
      </c>
      <c r="W11" s="18">
        <f>(U11+V11)*T11</f>
        <v>55000</v>
      </c>
      <c r="X11" s="18">
        <f>U11*(Константы!$B$4+Константы!$B$5)*T11</f>
        <v>6450.0000000000009</v>
      </c>
      <c r="Y11" s="18">
        <f>W11+X11</f>
        <v>61450</v>
      </c>
      <c r="Z11" s="35">
        <f>ROUNDUP(Модель!G$13/Константы!$B$7,0)</f>
        <v>1</v>
      </c>
      <c r="AA11" s="18">
        <v>15000</v>
      </c>
      <c r="AB11" s="18">
        <v>40000</v>
      </c>
      <c r="AC11" s="18">
        <f>(AA11+AB11)*Z11</f>
        <v>55000</v>
      </c>
      <c r="AD11" s="18">
        <f>AA11*(Константы!$B$4+Константы!$B$5)*Z11</f>
        <v>6450.0000000000009</v>
      </c>
      <c r="AE11" s="18">
        <f>AC11+AD11</f>
        <v>61450</v>
      </c>
      <c r="AF11" s="35">
        <f>ROUNDUP(Модель!H$13/Константы!$B$7,0)</f>
        <v>1</v>
      </c>
      <c r="AG11" s="18">
        <v>15000</v>
      </c>
      <c r="AH11" s="18">
        <v>40000</v>
      </c>
      <c r="AI11" s="18">
        <f>(AG11+AH11)*AF11</f>
        <v>55000</v>
      </c>
      <c r="AJ11" s="18">
        <f>AG11*(Константы!$B$4+Константы!$B$5)*AF11</f>
        <v>6450.0000000000009</v>
      </c>
      <c r="AK11" s="18">
        <f>AI11+AJ11</f>
        <v>61450</v>
      </c>
      <c r="AL11" s="35">
        <f>ROUNDUP(Модель!I$13/Константы!$B$7,0)</f>
        <v>1</v>
      </c>
      <c r="AM11" s="18">
        <v>15000</v>
      </c>
      <c r="AN11" s="18">
        <v>40000</v>
      </c>
      <c r="AO11" s="18">
        <f>(AM11+AN11)*AL11</f>
        <v>55000</v>
      </c>
      <c r="AP11" s="18">
        <f>AM11*(Константы!$B$4+Константы!$B$5)*AL11</f>
        <v>6450.0000000000009</v>
      </c>
      <c r="AQ11" s="18">
        <f>AO11+AP11</f>
        <v>61450</v>
      </c>
      <c r="AR11" s="35">
        <f>ROUNDUP(Модель!J$13/Константы!$B$7,0)</f>
        <v>1</v>
      </c>
      <c r="AS11" s="18">
        <v>15000</v>
      </c>
      <c r="AT11" s="18">
        <v>40000</v>
      </c>
      <c r="AU11" s="18">
        <f>(AS11+AT11)*AR11</f>
        <v>55000</v>
      </c>
      <c r="AV11" s="18">
        <f>AS11*(Константы!$B$4+Константы!$B$5)*AR11</f>
        <v>6450.0000000000009</v>
      </c>
      <c r="AW11" s="18">
        <f>AU11+AV11</f>
        <v>61450</v>
      </c>
      <c r="AX11" s="35">
        <f>ROUNDUP(Модель!K$13/Константы!$B$7,0)</f>
        <v>1</v>
      </c>
      <c r="AY11" s="18">
        <v>15000</v>
      </c>
      <c r="AZ11" s="18">
        <v>40000</v>
      </c>
      <c r="BA11" s="18">
        <f>(AY11+AZ11)*AX11</f>
        <v>55000</v>
      </c>
      <c r="BB11" s="18">
        <f>AY11*(Константы!$B$4+Константы!$B$5)*AX11</f>
        <v>6450.0000000000009</v>
      </c>
      <c r="BC11" s="18">
        <f>BA11+BB11</f>
        <v>61450</v>
      </c>
      <c r="BD11" s="5">
        <f>ROUNDUP(Модель!L$13/Константы!$B$7,0)</f>
        <v>1</v>
      </c>
      <c r="BE11" s="18">
        <v>15000</v>
      </c>
      <c r="BF11" s="18">
        <v>40000</v>
      </c>
      <c r="BG11" s="18">
        <f>(BE11+BF11)*BD11</f>
        <v>55000</v>
      </c>
      <c r="BH11" s="18">
        <f>BE11*(Константы!$B$4+Константы!$B$5)*BD11</f>
        <v>6450.0000000000009</v>
      </c>
      <c r="BI11" s="18">
        <f>BG11+BH11</f>
        <v>61450</v>
      </c>
      <c r="BJ11" s="35">
        <f>ROUNDUP(Модель!M$13/Константы!$B$7,0)</f>
        <v>1</v>
      </c>
      <c r="BK11" s="18">
        <v>15000</v>
      </c>
      <c r="BL11" s="18">
        <v>40000</v>
      </c>
      <c r="BM11" s="18">
        <f>(BK11+BL11)*BJ11</f>
        <v>55000</v>
      </c>
      <c r="BN11" s="18">
        <f>BK11*(Константы!$B$4+Константы!$B$5)*BJ11</f>
        <v>6450.0000000000009</v>
      </c>
      <c r="BO11" s="18">
        <f>BM11+BN11</f>
        <v>61450</v>
      </c>
      <c r="BP11" s="35">
        <f>ROUNDUP(Модель!N$13/Константы!$B$7,0)</f>
        <v>1</v>
      </c>
      <c r="BQ11" s="18">
        <v>15000</v>
      </c>
      <c r="BR11" s="18">
        <v>40000</v>
      </c>
      <c r="BS11" s="18">
        <f>(BQ11+BR11)*BP11</f>
        <v>55000</v>
      </c>
      <c r="BT11" s="18">
        <f>BQ11*(Константы!$B$4+Константы!$B$5)*BP11</f>
        <v>6450.0000000000009</v>
      </c>
      <c r="BU11" s="18">
        <f>BS11+BT11</f>
        <v>61450</v>
      </c>
    </row>
    <row r="12" spans="1:73" x14ac:dyDescent="0.25">
      <c r="A12" s="5"/>
      <c r="B12" s="35"/>
      <c r="C12" s="5"/>
      <c r="D12" s="5"/>
      <c r="E12" s="5"/>
      <c r="F12" s="5"/>
      <c r="G12" s="5"/>
      <c r="H12" s="35"/>
      <c r="I12" s="5"/>
      <c r="J12" s="5"/>
      <c r="K12" s="5"/>
      <c r="L12" s="5"/>
      <c r="M12" s="5"/>
      <c r="N12" s="35"/>
      <c r="O12" s="5"/>
      <c r="P12" s="5"/>
      <c r="Q12" s="5"/>
      <c r="R12" s="5"/>
      <c r="S12" s="5"/>
      <c r="T12" s="35"/>
      <c r="U12" s="5"/>
      <c r="V12" s="5"/>
      <c r="W12" s="5"/>
      <c r="X12" s="5"/>
      <c r="Y12" s="5"/>
      <c r="Z12" s="35"/>
      <c r="AA12" s="5"/>
      <c r="AB12" s="5"/>
      <c r="AC12" s="5"/>
      <c r="AD12" s="5"/>
      <c r="AE12" s="5"/>
      <c r="AF12" s="35"/>
      <c r="AG12" s="5"/>
      <c r="AH12" s="5"/>
      <c r="AI12" s="5"/>
      <c r="AJ12" s="5"/>
      <c r="AK12" s="5"/>
      <c r="AL12" s="35"/>
      <c r="AM12" s="5"/>
      <c r="AN12" s="5"/>
      <c r="AO12" s="5"/>
      <c r="AP12" s="5"/>
      <c r="AQ12" s="5"/>
      <c r="AR12" s="35"/>
      <c r="AS12" s="5"/>
      <c r="AT12" s="5"/>
      <c r="AU12" s="5"/>
      <c r="AV12" s="5"/>
      <c r="AW12" s="5"/>
      <c r="AX12" s="3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35"/>
      <c r="BK12" s="5"/>
      <c r="BL12" s="5"/>
      <c r="BM12" s="5"/>
      <c r="BN12" s="5"/>
      <c r="BO12" s="5"/>
      <c r="BP12" s="35"/>
      <c r="BQ12" s="5"/>
      <c r="BR12" s="5"/>
      <c r="BS12" s="5"/>
      <c r="BT12" s="5"/>
      <c r="BU12" s="5"/>
    </row>
    <row r="13" spans="1:73" x14ac:dyDescent="0.25">
      <c r="A13" s="5"/>
      <c r="B13" s="35"/>
      <c r="C13" s="5"/>
      <c r="D13" s="5"/>
      <c r="E13" s="5"/>
      <c r="F13" s="5"/>
      <c r="G13" s="5"/>
      <c r="H13" s="35"/>
      <c r="I13" s="5"/>
      <c r="J13" s="5"/>
      <c r="K13" s="5"/>
      <c r="L13" s="5"/>
      <c r="M13" s="5"/>
      <c r="N13" s="35"/>
      <c r="O13" s="5"/>
      <c r="P13" s="5"/>
      <c r="Q13" s="5"/>
      <c r="R13" s="5"/>
      <c r="S13" s="5"/>
      <c r="T13" s="35"/>
      <c r="U13" s="5"/>
      <c r="V13" s="5"/>
      <c r="W13" s="5"/>
      <c r="X13" s="5"/>
      <c r="Y13" s="5"/>
      <c r="Z13" s="35"/>
      <c r="AA13" s="5"/>
      <c r="AB13" s="5"/>
      <c r="AC13" s="5"/>
      <c r="AD13" s="5"/>
      <c r="AE13" s="5"/>
      <c r="AF13" s="35"/>
      <c r="AG13" s="5"/>
      <c r="AH13" s="5"/>
      <c r="AI13" s="5"/>
      <c r="AJ13" s="5"/>
      <c r="AK13" s="5"/>
      <c r="AL13" s="35"/>
      <c r="AM13" s="5"/>
      <c r="AN13" s="5"/>
      <c r="AO13" s="5"/>
      <c r="AP13" s="5"/>
      <c r="AQ13" s="5"/>
      <c r="AR13" s="35"/>
      <c r="AS13" s="5"/>
      <c r="AT13" s="5"/>
      <c r="AU13" s="5"/>
      <c r="AV13" s="5"/>
      <c r="AW13" s="5"/>
      <c r="AX13" s="3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35"/>
      <c r="BK13" s="5"/>
      <c r="BL13" s="5"/>
      <c r="BM13" s="5"/>
      <c r="BN13" s="5"/>
      <c r="BO13" s="5"/>
      <c r="BP13" s="35"/>
      <c r="BQ13" s="5"/>
      <c r="BR13" s="5"/>
      <c r="BS13" s="5"/>
      <c r="BT13" s="5"/>
      <c r="BU13" s="5"/>
    </row>
    <row r="14" spans="1:73" x14ac:dyDescent="0.25">
      <c r="A14" s="29" t="s">
        <v>56</v>
      </c>
      <c r="B14" s="36">
        <f>SUM(B11:B13)</f>
        <v>1</v>
      </c>
      <c r="C14" s="37">
        <f>SUMPRODUCT(B11:B13,C11:C13)</f>
        <v>15000</v>
      </c>
      <c r="D14" s="37">
        <f>SUMPRODUCT(B11:B13,D11:D13)</f>
        <v>40000</v>
      </c>
      <c r="E14" s="37">
        <f>SUM(E11:E13)</f>
        <v>55000</v>
      </c>
      <c r="F14" s="37">
        <f>SUM(F11:F13)</f>
        <v>6450.0000000000009</v>
      </c>
      <c r="G14" s="37">
        <f>SUM(G11:G13)</f>
        <v>61450</v>
      </c>
      <c r="H14" s="36">
        <f>SUM(H11:H13)</f>
        <v>1</v>
      </c>
      <c r="I14" s="37">
        <f>SUMPRODUCT(H11:H13,I11:I13)</f>
        <v>15000</v>
      </c>
      <c r="J14" s="37">
        <f>SUMPRODUCT(H11:H13,J11:J13)</f>
        <v>40000</v>
      </c>
      <c r="K14" s="37">
        <f>SUM(K11:K13)</f>
        <v>55000</v>
      </c>
      <c r="L14" s="37">
        <f>SUM(L11:L13)</f>
        <v>6450.0000000000009</v>
      </c>
      <c r="M14" s="37">
        <f>SUM(M11:M13)</f>
        <v>61450</v>
      </c>
      <c r="N14" s="36">
        <f>SUM(N11:N13)</f>
        <v>1</v>
      </c>
      <c r="O14" s="37">
        <f>SUMPRODUCT(N11:N13,O11:O13)</f>
        <v>15000</v>
      </c>
      <c r="P14" s="37">
        <f>SUMPRODUCT(N11:N13,P11:P13)</f>
        <v>40000</v>
      </c>
      <c r="Q14" s="37">
        <f>SUM(Q11:Q13)</f>
        <v>55000</v>
      </c>
      <c r="R14" s="37">
        <f>SUM(R11:R13)</f>
        <v>6450.0000000000009</v>
      </c>
      <c r="S14" s="37">
        <f>SUM(S11:S13)</f>
        <v>61450</v>
      </c>
      <c r="T14" s="36">
        <f>SUM(T11:T13)</f>
        <v>1</v>
      </c>
      <c r="U14" s="37">
        <f>SUMPRODUCT(T11:T13,U11:U13)</f>
        <v>15000</v>
      </c>
      <c r="V14" s="37">
        <f>SUMPRODUCT(T11:T13,V11:V13)</f>
        <v>40000</v>
      </c>
      <c r="W14" s="37">
        <f>SUM(W11:W13)</f>
        <v>55000</v>
      </c>
      <c r="X14" s="37">
        <f>SUM(X11:X13)</f>
        <v>6450.0000000000009</v>
      </c>
      <c r="Y14" s="37">
        <f>SUM(Y11:Y13)</f>
        <v>61450</v>
      </c>
      <c r="Z14" s="36">
        <f>SUM(Z11:Z13)</f>
        <v>1</v>
      </c>
      <c r="AA14" s="37">
        <f>SUMPRODUCT(Z11:Z13,AA11:AA13)</f>
        <v>15000</v>
      </c>
      <c r="AB14" s="37">
        <f>SUMPRODUCT(Z11:Z13,AB11:AB13)</f>
        <v>40000</v>
      </c>
      <c r="AC14" s="37">
        <f>SUM(AC11:AC13)</f>
        <v>55000</v>
      </c>
      <c r="AD14" s="37">
        <f>SUM(AD11:AD13)</f>
        <v>6450.0000000000009</v>
      </c>
      <c r="AE14" s="37">
        <f>SUM(AE11:AE13)</f>
        <v>61450</v>
      </c>
      <c r="AF14" s="36">
        <f>SUM(AF11:AF13)</f>
        <v>1</v>
      </c>
      <c r="AG14" s="37">
        <f>SUMPRODUCT(AF11:AF13,AG11:AG13)</f>
        <v>15000</v>
      </c>
      <c r="AH14" s="37">
        <f>SUMPRODUCT(AF11:AF13,AH11:AH13)</f>
        <v>40000</v>
      </c>
      <c r="AI14" s="37">
        <f>SUM(AI11:AI13)</f>
        <v>55000</v>
      </c>
      <c r="AJ14" s="37">
        <f>SUM(AJ11:AJ13)</f>
        <v>6450.0000000000009</v>
      </c>
      <c r="AK14" s="37">
        <f>SUM(AK11:AK13)</f>
        <v>61450</v>
      </c>
      <c r="AL14" s="36">
        <f>SUM(AL11:AL13)</f>
        <v>1</v>
      </c>
      <c r="AM14" s="37">
        <f>SUMPRODUCT(AL11:AL13,AM11:AM13)</f>
        <v>15000</v>
      </c>
      <c r="AN14" s="37">
        <f>SUMPRODUCT(AL11:AL13,AN11:AN13)</f>
        <v>40000</v>
      </c>
      <c r="AO14" s="37">
        <f>SUM(AO11:AO13)</f>
        <v>55000</v>
      </c>
      <c r="AP14" s="37">
        <f>SUM(AP11:AP13)</f>
        <v>6450.0000000000009</v>
      </c>
      <c r="AQ14" s="37">
        <f>SUM(AQ11:AQ13)</f>
        <v>61450</v>
      </c>
      <c r="AR14" s="36">
        <f>SUM(AR11:AR13)</f>
        <v>1</v>
      </c>
      <c r="AS14" s="37">
        <f>SUMPRODUCT(AR11:AR13,AS11:AS13)</f>
        <v>15000</v>
      </c>
      <c r="AT14" s="37">
        <f>SUMPRODUCT(AR11:AR13,AT11:AT13)</f>
        <v>40000</v>
      </c>
      <c r="AU14" s="37">
        <f>SUM(AU11:AU13)</f>
        <v>55000</v>
      </c>
      <c r="AV14" s="37">
        <f>SUM(AV11:AV13)</f>
        <v>6450.0000000000009</v>
      </c>
      <c r="AW14" s="37">
        <f>SUM(AW11:AW13)</f>
        <v>61450</v>
      </c>
      <c r="AX14" s="36">
        <f>SUM(AX11:AX13)</f>
        <v>1</v>
      </c>
      <c r="AY14" s="37">
        <f>SUMPRODUCT(AX11:AX13,AY11:AY13)</f>
        <v>15000</v>
      </c>
      <c r="AZ14" s="37">
        <f>SUMPRODUCT(AX11:AX13,AZ11:AZ13)</f>
        <v>40000</v>
      </c>
      <c r="BA14" s="37">
        <f>SUM(BA11:BA13)</f>
        <v>55000</v>
      </c>
      <c r="BB14" s="37">
        <f>SUM(BB11:BB13)</f>
        <v>6450.0000000000009</v>
      </c>
      <c r="BC14" s="37">
        <f>SUM(BC11:BC13)</f>
        <v>61450</v>
      </c>
      <c r="BD14" s="29">
        <f>SUM(BD11:BD13)</f>
        <v>1</v>
      </c>
      <c r="BE14" s="37">
        <f>SUMPRODUCT(BD11:BD13,BE11:BE13)</f>
        <v>15000</v>
      </c>
      <c r="BF14" s="37">
        <f>SUMPRODUCT(BD11:BD13,BF11:BF13)</f>
        <v>40000</v>
      </c>
      <c r="BG14" s="37">
        <f>SUM(BG11:BG13)</f>
        <v>55000</v>
      </c>
      <c r="BH14" s="37">
        <f>SUM(BH11:BH13)</f>
        <v>6450.0000000000009</v>
      </c>
      <c r="BI14" s="37">
        <f>SUM(BI11:BI13)</f>
        <v>61450</v>
      </c>
      <c r="BJ14" s="36">
        <f>SUM(BJ11:BJ13)</f>
        <v>1</v>
      </c>
      <c r="BK14" s="37">
        <f>SUMPRODUCT(BJ11:BJ13,BK11:BK13)</f>
        <v>15000</v>
      </c>
      <c r="BL14" s="37">
        <f>SUMPRODUCT(BJ11:BJ13,BL11:BL13)</f>
        <v>40000</v>
      </c>
      <c r="BM14" s="37">
        <f>SUM(BM11:BM13)</f>
        <v>55000</v>
      </c>
      <c r="BN14" s="37">
        <f>SUM(BN11:BN13)</f>
        <v>6450.0000000000009</v>
      </c>
      <c r="BO14" s="37">
        <f>SUM(BO11:BO13)</f>
        <v>61450</v>
      </c>
      <c r="BP14" s="36">
        <f>SUM(BP11:BP13)</f>
        <v>1</v>
      </c>
      <c r="BQ14" s="37">
        <f>SUMPRODUCT(BP11:BP13,BQ11:BQ13)</f>
        <v>15000</v>
      </c>
      <c r="BR14" s="37">
        <f>SUMPRODUCT(BP11:BP13,BR11:BR13)</f>
        <v>40000</v>
      </c>
      <c r="BS14" s="37">
        <f>SUM(BS11:BS13)</f>
        <v>55000</v>
      </c>
      <c r="BT14" s="37">
        <f>SUM(BT11:BT13)</f>
        <v>6450.0000000000009</v>
      </c>
      <c r="BU14" s="37">
        <f>SUM(BU11:BU13)</f>
        <v>61450</v>
      </c>
    </row>
    <row r="15" spans="1:73" x14ac:dyDescent="0.25">
      <c r="A15" s="5"/>
      <c r="B15" s="35"/>
      <c r="C15" s="5"/>
      <c r="D15" s="5"/>
      <c r="E15" s="5"/>
      <c r="F15" s="5"/>
      <c r="G15" s="5"/>
      <c r="H15" s="35"/>
      <c r="I15" s="5"/>
      <c r="J15" s="5"/>
      <c r="K15" s="5"/>
      <c r="L15" s="5"/>
      <c r="M15" s="5"/>
      <c r="N15" s="35"/>
      <c r="O15" s="5"/>
      <c r="P15" s="5"/>
      <c r="Q15" s="5"/>
      <c r="R15" s="5"/>
      <c r="S15" s="5"/>
      <c r="T15" s="35"/>
      <c r="U15" s="5"/>
      <c r="V15" s="5"/>
      <c r="W15" s="5"/>
      <c r="X15" s="5"/>
      <c r="Y15" s="5"/>
      <c r="Z15" s="35"/>
      <c r="AA15" s="5"/>
      <c r="AB15" s="5"/>
      <c r="AC15" s="5"/>
      <c r="AD15" s="5"/>
      <c r="AE15" s="5"/>
      <c r="AF15" s="35"/>
      <c r="AG15" s="5"/>
      <c r="AH15" s="5"/>
      <c r="AI15" s="5"/>
      <c r="AJ15" s="5"/>
      <c r="AK15" s="5"/>
      <c r="AL15" s="35"/>
      <c r="AM15" s="5"/>
      <c r="AN15" s="5"/>
      <c r="AO15" s="5"/>
      <c r="AP15" s="5"/>
      <c r="AQ15" s="5"/>
      <c r="AR15" s="35"/>
      <c r="AS15" s="5"/>
      <c r="AT15" s="5"/>
      <c r="AU15" s="5"/>
      <c r="AV15" s="5"/>
      <c r="AW15" s="5"/>
      <c r="AX15" s="3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35"/>
      <c r="BK15" s="5"/>
      <c r="BL15" s="5"/>
      <c r="BM15" s="5"/>
      <c r="BN15" s="5"/>
      <c r="BO15" s="5"/>
      <c r="BP15" s="35"/>
      <c r="BQ15" s="5"/>
      <c r="BR15" s="5"/>
      <c r="BS15" s="5"/>
      <c r="BT15" s="5"/>
      <c r="BU15" s="5"/>
    </row>
    <row r="16" spans="1:73" x14ac:dyDescent="0.25">
      <c r="A16" s="29" t="s">
        <v>57</v>
      </c>
      <c r="B16" s="36">
        <f>B9+B14</f>
        <v>5</v>
      </c>
      <c r="C16" s="37">
        <f>SUM(C9,C14)</f>
        <v>95000</v>
      </c>
      <c r="D16" s="37">
        <f>SUM(D9,D14)</f>
        <v>190000</v>
      </c>
      <c r="E16" s="37">
        <f>E9+E14</f>
        <v>285000</v>
      </c>
      <c r="F16" s="37">
        <f>F9+F14</f>
        <v>40850.000000000007</v>
      </c>
      <c r="G16" s="37">
        <f>G9+G14</f>
        <v>325850</v>
      </c>
      <c r="H16" s="36">
        <f>H9+H14</f>
        <v>5</v>
      </c>
      <c r="I16" s="37">
        <f>SUM(I9,I14)</f>
        <v>95000</v>
      </c>
      <c r="J16" s="37">
        <f>SUM(J9,J14)</f>
        <v>190000</v>
      </c>
      <c r="K16" s="37">
        <f>K9+K14</f>
        <v>285000</v>
      </c>
      <c r="L16" s="37">
        <f>L9+L14</f>
        <v>40850.000000000007</v>
      </c>
      <c r="M16" s="37">
        <f>M9+M14</f>
        <v>325850</v>
      </c>
      <c r="N16" s="36">
        <f>N9+N14</f>
        <v>5</v>
      </c>
      <c r="O16" s="37">
        <f>SUM(O9,O14)</f>
        <v>95000</v>
      </c>
      <c r="P16" s="37">
        <f>SUM(P9,P14)</f>
        <v>190000</v>
      </c>
      <c r="Q16" s="37">
        <f>Q9+Q14</f>
        <v>285000</v>
      </c>
      <c r="R16" s="37">
        <f>R9+R14</f>
        <v>40850.000000000007</v>
      </c>
      <c r="S16" s="37">
        <f>S9+S14</f>
        <v>325850</v>
      </c>
      <c r="T16" s="36">
        <f>T9+T14</f>
        <v>5</v>
      </c>
      <c r="U16" s="37">
        <f>SUM(U9,U14)</f>
        <v>95000</v>
      </c>
      <c r="V16" s="37">
        <f>SUM(V9,V14)</f>
        <v>190000</v>
      </c>
      <c r="W16" s="37">
        <f>W9+W14</f>
        <v>285000</v>
      </c>
      <c r="X16" s="37">
        <f>X9+X14</f>
        <v>40850.000000000007</v>
      </c>
      <c r="Y16" s="37">
        <f>Y9+Y14</f>
        <v>325850</v>
      </c>
      <c r="Z16" s="36">
        <f>Z9+Z14</f>
        <v>6</v>
      </c>
      <c r="AA16" s="37">
        <f>SUM(AA9,AA14)</f>
        <v>115000</v>
      </c>
      <c r="AB16" s="37">
        <f>SUM(AB9,AB14)</f>
        <v>320000</v>
      </c>
      <c r="AC16" s="37">
        <f>AC9+AC14</f>
        <v>435000</v>
      </c>
      <c r="AD16" s="37">
        <f>AD9+AD14</f>
        <v>49450.000000000007</v>
      </c>
      <c r="AE16" s="37">
        <f>AE9+AE14</f>
        <v>484450</v>
      </c>
      <c r="AF16" s="36">
        <f>AF9+AF14</f>
        <v>6</v>
      </c>
      <c r="AG16" s="37">
        <f>SUM(AG9,AG14)</f>
        <v>115000</v>
      </c>
      <c r="AH16" s="37">
        <f>SUM(AH9,AH14)</f>
        <v>320000</v>
      </c>
      <c r="AI16" s="37">
        <f>AI9+AI14</f>
        <v>435000</v>
      </c>
      <c r="AJ16" s="37">
        <f>AJ9+AJ14</f>
        <v>49450.000000000007</v>
      </c>
      <c r="AK16" s="37">
        <f>AK9+AK14</f>
        <v>484450</v>
      </c>
      <c r="AL16" s="36">
        <f>AL9+AL14</f>
        <v>6</v>
      </c>
      <c r="AM16" s="37">
        <f>SUM(AM9,AM14)</f>
        <v>115000</v>
      </c>
      <c r="AN16" s="37">
        <f>SUM(AN9,AN14)</f>
        <v>320000</v>
      </c>
      <c r="AO16" s="37">
        <f>AO9+AO14</f>
        <v>435000</v>
      </c>
      <c r="AP16" s="37">
        <f>AP9+AP14</f>
        <v>49450.000000000007</v>
      </c>
      <c r="AQ16" s="37">
        <f>AQ9+AQ14</f>
        <v>484450</v>
      </c>
      <c r="AR16" s="36">
        <f>AR9+AR14</f>
        <v>6</v>
      </c>
      <c r="AS16" s="37">
        <f>SUM(AS9,AS14)</f>
        <v>115000</v>
      </c>
      <c r="AT16" s="37">
        <f>SUM(AT9,AT14)</f>
        <v>320000</v>
      </c>
      <c r="AU16" s="37">
        <f>AU9+AU14</f>
        <v>435000</v>
      </c>
      <c r="AV16" s="37">
        <f>AV9+AV14</f>
        <v>49450.000000000007</v>
      </c>
      <c r="AW16" s="37">
        <f>AW9+AW14</f>
        <v>484450</v>
      </c>
      <c r="AX16" s="36">
        <f>AX9+AX14</f>
        <v>6</v>
      </c>
      <c r="AY16" s="37">
        <f>SUM(AY9,AY14)</f>
        <v>115000</v>
      </c>
      <c r="AZ16" s="37">
        <f>SUM(AZ9,AZ14)</f>
        <v>320000</v>
      </c>
      <c r="BA16" s="37">
        <f>BA9+BA14</f>
        <v>435000</v>
      </c>
      <c r="BB16" s="37">
        <f>BB9+BB14</f>
        <v>49450.000000000007</v>
      </c>
      <c r="BC16" s="37">
        <f>BC9+BC14</f>
        <v>484450</v>
      </c>
      <c r="BD16" s="29">
        <f>BD9+BD14</f>
        <v>6</v>
      </c>
      <c r="BE16" s="37">
        <f>SUM(BE9,BE14)</f>
        <v>115000</v>
      </c>
      <c r="BF16" s="37">
        <f>SUM(BF9,BF14)</f>
        <v>320000</v>
      </c>
      <c r="BG16" s="37">
        <f>BG9+BG14</f>
        <v>435000</v>
      </c>
      <c r="BH16" s="37">
        <f>BH9+BH14</f>
        <v>49450.000000000007</v>
      </c>
      <c r="BI16" s="37">
        <f>BI9+BI14</f>
        <v>484450</v>
      </c>
      <c r="BJ16" s="36">
        <f>BJ9+BJ14</f>
        <v>6</v>
      </c>
      <c r="BK16" s="37">
        <f>SUM(BK9,BK14)</f>
        <v>115000</v>
      </c>
      <c r="BL16" s="37">
        <f>SUM(BL9,BL14)</f>
        <v>320000</v>
      </c>
      <c r="BM16" s="37">
        <f>BM9+BM14</f>
        <v>435000</v>
      </c>
      <c r="BN16" s="37">
        <f>BN9+BN14</f>
        <v>49450.000000000007</v>
      </c>
      <c r="BO16" s="37">
        <f>BO9+BO14</f>
        <v>484450</v>
      </c>
      <c r="BP16" s="36">
        <f>BP9+BP14</f>
        <v>6</v>
      </c>
      <c r="BQ16" s="37">
        <f>SUM(BQ9,BQ14)</f>
        <v>115000</v>
      </c>
      <c r="BR16" s="37">
        <f>SUM(BR9,BR14)</f>
        <v>320000</v>
      </c>
      <c r="BS16" s="37">
        <f>BS9+BS14</f>
        <v>435000</v>
      </c>
      <c r="BT16" s="37">
        <f>BT9+BT14</f>
        <v>49450.000000000007</v>
      </c>
      <c r="BU16" s="37">
        <f>BU9+BU14</f>
        <v>484450</v>
      </c>
    </row>
  </sheetData>
  <sheetProtection selectLockedCells="1" selectUnlockedCells="1"/>
  <mergeCells count="12">
    <mergeCell ref="BP1:BU1"/>
    <mergeCell ref="B1:G1"/>
    <mergeCell ref="H1:M1"/>
    <mergeCell ref="N1:S1"/>
    <mergeCell ref="T1:Y1"/>
    <mergeCell ref="Z1:AE1"/>
    <mergeCell ref="AF1:AK1"/>
    <mergeCell ref="AL1:AQ1"/>
    <mergeCell ref="AR1:AW1"/>
    <mergeCell ref="AX1:BC1"/>
    <mergeCell ref="BD1:BI1"/>
    <mergeCell ref="BJ1:BO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7" sqref="D7"/>
    </sheetView>
  </sheetViews>
  <sheetFormatPr defaultColWidth="8.7109375" defaultRowHeight="15" x14ac:dyDescent="0.25"/>
  <cols>
    <col min="1" max="1" width="39.7109375" customWidth="1"/>
    <col min="2" max="2" width="11" customWidth="1"/>
  </cols>
  <sheetData>
    <row r="1" spans="1:2" x14ac:dyDescent="0.25">
      <c r="A1" s="19" t="s">
        <v>58</v>
      </c>
      <c r="B1" s="19" t="s">
        <v>59</v>
      </c>
    </row>
    <row r="2" spans="1:2" x14ac:dyDescent="0.25">
      <c r="A2" s="5" t="s">
        <v>60</v>
      </c>
      <c r="B2" s="7">
        <v>0.06</v>
      </c>
    </row>
    <row r="3" spans="1:2" x14ac:dyDescent="0.25">
      <c r="A3" s="5" t="s">
        <v>61</v>
      </c>
      <c r="B3" s="38">
        <v>0.06</v>
      </c>
    </row>
    <row r="4" spans="1:2" x14ac:dyDescent="0.25">
      <c r="A4" s="5" t="s">
        <v>62</v>
      </c>
      <c r="B4" s="7">
        <v>0.13</v>
      </c>
    </row>
    <row r="5" spans="1:2" x14ac:dyDescent="0.25">
      <c r="A5" s="5" t="s">
        <v>63</v>
      </c>
      <c r="B5" s="7">
        <v>0.30000000000000004</v>
      </c>
    </row>
    <row r="6" spans="1:2" x14ac:dyDescent="0.25">
      <c r="A6" s="5" t="s">
        <v>64</v>
      </c>
      <c r="B6" s="39">
        <v>10</v>
      </c>
    </row>
    <row r="7" spans="1:2" x14ac:dyDescent="0.25">
      <c r="A7" s="5" t="s">
        <v>65</v>
      </c>
      <c r="B7" s="39">
        <v>20</v>
      </c>
    </row>
    <row r="8" spans="1:2" x14ac:dyDescent="0.25">
      <c r="A8" s="5" t="s">
        <v>66</v>
      </c>
      <c r="B8" s="39">
        <v>4</v>
      </c>
    </row>
    <row r="9" spans="1:2" x14ac:dyDescent="0.25">
      <c r="A9" s="5" t="s">
        <v>67</v>
      </c>
      <c r="B9" s="40">
        <v>1000</v>
      </c>
    </row>
    <row r="10" spans="1:2" x14ac:dyDescent="0.25">
      <c r="A10" s="5" t="s">
        <v>68</v>
      </c>
      <c r="B10" s="40">
        <v>50</v>
      </c>
    </row>
    <row r="11" spans="1:2" x14ac:dyDescent="0.25">
      <c r="A11" s="5" t="s">
        <v>69</v>
      </c>
      <c r="B11" s="40">
        <v>1000</v>
      </c>
    </row>
    <row r="12" spans="1:2" x14ac:dyDescent="0.25">
      <c r="A12" s="5" t="s">
        <v>70</v>
      </c>
      <c r="B12" s="40">
        <f>25000+10000</f>
        <v>35000</v>
      </c>
    </row>
    <row r="13" spans="1:2" x14ac:dyDescent="0.25">
      <c r="A13" s="5" t="s">
        <v>71</v>
      </c>
      <c r="B13" s="7">
        <v>0.03</v>
      </c>
    </row>
    <row r="14" spans="1:2" x14ac:dyDescent="0.25">
      <c r="A14" s="5" t="s">
        <v>72</v>
      </c>
      <c r="B14" s="39">
        <v>10</v>
      </c>
    </row>
    <row r="15" spans="1:2" x14ac:dyDescent="0.25">
      <c r="A15" s="5" t="s">
        <v>73</v>
      </c>
      <c r="B15" s="39">
        <v>15</v>
      </c>
    </row>
    <row r="16" spans="1:2" x14ac:dyDescent="0.25">
      <c r="A16" s="5" t="s">
        <v>74</v>
      </c>
      <c r="B16" s="5">
        <v>4</v>
      </c>
    </row>
    <row r="17" spans="1:2" x14ac:dyDescent="0.25">
      <c r="A17" s="5" t="s">
        <v>75</v>
      </c>
      <c r="B17" s="5">
        <v>8</v>
      </c>
    </row>
    <row r="18" spans="1:2" x14ac:dyDescent="0.25">
      <c r="A18" s="5" t="s">
        <v>76</v>
      </c>
      <c r="B18" s="7">
        <v>0.5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Модель</vt:lpstr>
      <vt:lpstr>Персонал</vt:lpstr>
      <vt:lpstr>Константы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2018-10-31T21:11:35Z</dcterms:created>
  <dcterms:modified xsi:type="dcterms:W3CDTF">2023-10-19T17:27:58Z</dcterms:modified>
</cp:coreProperties>
</file>