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nira\Downloads\"/>
    </mc:Choice>
  </mc:AlternateContent>
  <xr:revisionPtr revIDLastSave="0" documentId="8_{48A79DD5-CF3B-458C-8799-06FA6F1DCB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анные Заявителя" sheetId="3" r:id="rId1"/>
    <sheet name="Итоговые расчеты модели" sheetId="4" r:id="rId2"/>
  </sheets>
  <definedNames>
    <definedName name="Налоги" comment="выбор системы налогообложения" localSheetId="0">'Данные Заявителя'!$A$88:$A$90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F35" i="3" s="1"/>
  <c r="B27" i="4" l="1"/>
  <c r="N26" i="4"/>
  <c r="B26" i="4"/>
  <c r="A23" i="4"/>
  <c r="A14" i="4"/>
  <c r="A13" i="4"/>
  <c r="A12" i="4"/>
  <c r="A11" i="4"/>
  <c r="A10" i="4"/>
  <c r="A9" i="4"/>
  <c r="B12" i="4"/>
  <c r="AG56" i="3"/>
  <c r="N12" i="4" s="1"/>
  <c r="AJ56" i="3"/>
  <c r="W56" i="3"/>
  <c r="Z56" i="3"/>
  <c r="D56" i="3"/>
  <c r="E56" i="3"/>
  <c r="F56" i="3"/>
  <c r="C56" i="3"/>
  <c r="M35" i="3"/>
  <c r="V35" i="3"/>
  <c r="W35" i="3"/>
  <c r="AG35" i="3"/>
  <c r="N27" i="4" s="1"/>
  <c r="N28" i="4" s="1"/>
  <c r="N34" i="4" s="1"/>
  <c r="AH35" i="3"/>
  <c r="AI35" i="3"/>
  <c r="AJ35" i="3"/>
  <c r="AK35" i="3"/>
  <c r="J34" i="3"/>
  <c r="J56" i="3" s="1"/>
  <c r="K34" i="3"/>
  <c r="K56" i="3" s="1"/>
  <c r="L34" i="3"/>
  <c r="L35" i="3" s="1"/>
  <c r="M34" i="3"/>
  <c r="M56" i="3" s="1"/>
  <c r="N34" i="3"/>
  <c r="E26" i="4" s="1"/>
  <c r="O34" i="3"/>
  <c r="P34" i="3"/>
  <c r="P35" i="3" s="1"/>
  <c r="Q34" i="3"/>
  <c r="Q56" i="3" s="1"/>
  <c r="R34" i="3"/>
  <c r="R35" i="3" s="1"/>
  <c r="S34" i="3"/>
  <c r="S56" i="3" s="1"/>
  <c r="T34" i="3"/>
  <c r="T35" i="3" s="1"/>
  <c r="U34" i="3"/>
  <c r="U56" i="3" s="1"/>
  <c r="V34" i="3"/>
  <c r="V56" i="3" s="1"/>
  <c r="W34" i="3"/>
  <c r="X34" i="3"/>
  <c r="J26" i="4" s="1"/>
  <c r="Y34" i="3"/>
  <c r="Y56" i="3" s="1"/>
  <c r="Z34" i="3"/>
  <c r="Z35" i="3" s="1"/>
  <c r="AA34" i="3"/>
  <c r="L26" i="4" s="1"/>
  <c r="AB34" i="3"/>
  <c r="AB35" i="3" s="1"/>
  <c r="AC34" i="3"/>
  <c r="AC56" i="3" s="1"/>
  <c r="AD34" i="3"/>
  <c r="M26" i="4" s="1"/>
  <c r="AE34" i="3"/>
  <c r="AE56" i="3" s="1"/>
  <c r="AF34" i="3"/>
  <c r="AF35" i="3" s="1"/>
  <c r="AG34" i="3"/>
  <c r="AH34" i="3"/>
  <c r="AH56" i="3" s="1"/>
  <c r="AI34" i="3"/>
  <c r="AI56" i="3" s="1"/>
  <c r="AJ34" i="3"/>
  <c r="O26" i="4" s="1"/>
  <c r="AK34" i="3"/>
  <c r="AK56" i="3" s="1"/>
  <c r="AL34" i="3"/>
  <c r="AL35" i="3" s="1"/>
  <c r="H34" i="3"/>
  <c r="H56" i="3" s="1"/>
  <c r="I34" i="3"/>
  <c r="I35" i="3" s="1"/>
  <c r="G34" i="3"/>
  <c r="G35" i="3" s="1"/>
  <c r="Y35" i="3" l="1"/>
  <c r="X56" i="3"/>
  <c r="J12" i="4" s="1"/>
  <c r="X35" i="3"/>
  <c r="J27" i="4" s="1"/>
  <c r="J28" i="4" s="1"/>
  <c r="J34" i="4" s="1"/>
  <c r="K35" i="3"/>
  <c r="O27" i="4"/>
  <c r="O28" i="4" s="1"/>
  <c r="O34" i="4" s="1"/>
  <c r="AE35" i="3"/>
  <c r="AL56" i="3"/>
  <c r="O12" i="4" s="1"/>
  <c r="AB56" i="3"/>
  <c r="AA56" i="3"/>
  <c r="AD35" i="3"/>
  <c r="M27" i="4" s="1"/>
  <c r="M28" i="4" s="1"/>
  <c r="M34" i="4" s="1"/>
  <c r="AC35" i="3"/>
  <c r="L56" i="3"/>
  <c r="I56" i="3"/>
  <c r="D12" i="4" s="1"/>
  <c r="AF56" i="3"/>
  <c r="AD56" i="3"/>
  <c r="M12" i="4" s="1"/>
  <c r="AA35" i="3"/>
  <c r="L27" i="4" s="1"/>
  <c r="L28" i="4" s="1"/>
  <c r="L34" i="4" s="1"/>
  <c r="G56" i="3"/>
  <c r="C12" i="4" s="1"/>
  <c r="I12" i="4"/>
  <c r="G26" i="4"/>
  <c r="P56" i="3"/>
  <c r="I26" i="4"/>
  <c r="U35" i="3"/>
  <c r="I27" i="4" s="1"/>
  <c r="I28" i="4" s="1"/>
  <c r="I34" i="4" s="1"/>
  <c r="T56" i="3"/>
  <c r="S35" i="3"/>
  <c r="H27" i="4"/>
  <c r="H28" i="4" s="1"/>
  <c r="H34" i="4" s="1"/>
  <c r="H26" i="4"/>
  <c r="R56" i="3"/>
  <c r="Q35" i="3"/>
  <c r="O56" i="3"/>
  <c r="G12" i="4" s="1"/>
  <c r="O35" i="3"/>
  <c r="N35" i="3"/>
  <c r="E27" i="4" s="1"/>
  <c r="E28" i="4" s="1"/>
  <c r="E34" i="4" s="1"/>
  <c r="N56" i="3"/>
  <c r="D26" i="4"/>
  <c r="J35" i="3"/>
  <c r="H35" i="3"/>
  <c r="C27" i="4" s="1"/>
  <c r="C28" i="4" s="1"/>
  <c r="C26" i="4"/>
  <c r="M60" i="4"/>
  <c r="L60" i="4"/>
  <c r="K60" i="4"/>
  <c r="J60" i="4"/>
  <c r="I60" i="4"/>
  <c r="H60" i="4"/>
  <c r="G60" i="4"/>
  <c r="F60" i="4"/>
  <c r="E60" i="4"/>
  <c r="D60" i="4"/>
  <c r="C60" i="4"/>
  <c r="B60" i="4"/>
  <c r="B86" i="4"/>
  <c r="B13" i="4"/>
  <c r="B6" i="4"/>
  <c r="E72" i="3"/>
  <c r="D72" i="3"/>
  <c r="C72" i="3"/>
  <c r="F72" i="3"/>
  <c r="G72" i="3"/>
  <c r="H72" i="3"/>
  <c r="I72" i="3"/>
  <c r="D27" i="4" l="1"/>
  <c r="D28" i="4" s="1"/>
  <c r="D34" i="4" s="1"/>
  <c r="C34" i="4"/>
  <c r="E12" i="4"/>
  <c r="L12" i="4"/>
  <c r="H12" i="4"/>
  <c r="G27" i="4"/>
  <c r="G28" i="4" s="1"/>
  <c r="B127" i="4"/>
  <c r="G34" i="4" l="1"/>
  <c r="K28" i="4"/>
  <c r="F28" i="4"/>
  <c r="B83" i="4"/>
  <c r="C84" i="4" l="1"/>
  <c r="G84" i="4"/>
  <c r="K84" i="4"/>
  <c r="E84" i="4"/>
  <c r="I84" i="4"/>
  <c r="B84" i="4"/>
  <c r="F84" i="4"/>
  <c r="J84" i="4"/>
  <c r="D84" i="4"/>
  <c r="H84" i="4"/>
  <c r="L84" i="4"/>
  <c r="M84" i="4"/>
  <c r="B11" i="4" l="1"/>
  <c r="C6" i="4"/>
  <c r="D6" i="4"/>
  <c r="E6" i="4"/>
  <c r="G6" i="4"/>
  <c r="H6" i="4"/>
  <c r="I6" i="4"/>
  <c r="J6" i="4"/>
  <c r="L6" i="4"/>
  <c r="M6" i="4"/>
  <c r="N6" i="4"/>
  <c r="O6" i="4"/>
  <c r="P6" i="4" l="1"/>
  <c r="F6" i="4"/>
  <c r="K6" i="4"/>
  <c r="Q6" i="4" l="1"/>
  <c r="D11" i="4" l="1"/>
  <c r="A16" i="4" l="1"/>
  <c r="M125" i="4"/>
  <c r="L125" i="4"/>
  <c r="K125" i="4"/>
  <c r="J125" i="4"/>
  <c r="I125" i="4"/>
  <c r="H125" i="4"/>
  <c r="G125" i="4"/>
  <c r="F125" i="4"/>
  <c r="E125" i="4"/>
  <c r="D125" i="4"/>
  <c r="C125" i="4"/>
  <c r="B125" i="4"/>
  <c r="A287" i="4"/>
  <c r="C127" i="4" l="1"/>
  <c r="D127" i="4" s="1"/>
  <c r="E127" i="4" s="1"/>
  <c r="F127" i="4" s="1"/>
  <c r="G127" i="4" s="1"/>
  <c r="H127" i="4" s="1"/>
  <c r="I127" i="4" s="1"/>
  <c r="J127" i="4" s="1"/>
  <c r="K127" i="4" s="1"/>
  <c r="L127" i="4" s="1"/>
  <c r="M127" i="4" s="1"/>
  <c r="C68" i="4"/>
  <c r="D68" i="4"/>
  <c r="E68" i="4"/>
  <c r="F68" i="4"/>
  <c r="G68" i="4"/>
  <c r="H68" i="4"/>
  <c r="I68" i="4"/>
  <c r="J68" i="4"/>
  <c r="K68" i="4"/>
  <c r="L68" i="4"/>
  <c r="M68" i="4"/>
  <c r="B68" i="4"/>
  <c r="C64" i="4"/>
  <c r="C63" i="4" s="1"/>
  <c r="D64" i="4"/>
  <c r="D63" i="4" s="1"/>
  <c r="E64" i="4"/>
  <c r="E63" i="4" s="1"/>
  <c r="F64" i="4"/>
  <c r="F63" i="4" s="1"/>
  <c r="G64" i="4"/>
  <c r="G63" i="4" s="1"/>
  <c r="H64" i="4"/>
  <c r="H63" i="4" s="1"/>
  <c r="I64" i="4"/>
  <c r="I63" i="4" s="1"/>
  <c r="J64" i="4"/>
  <c r="J63" i="4" s="1"/>
  <c r="K64" i="4"/>
  <c r="K63" i="4" s="1"/>
  <c r="L64" i="4"/>
  <c r="L63" i="4" s="1"/>
  <c r="M64" i="4"/>
  <c r="M63" i="4" s="1"/>
  <c r="B64" i="4"/>
  <c r="N58" i="4"/>
  <c r="B71" i="4"/>
  <c r="N71" i="4" s="1"/>
  <c r="B65" i="4"/>
  <c r="N65" i="4" s="1"/>
  <c r="F59" i="4"/>
  <c r="F61" i="4" s="1"/>
  <c r="F79" i="4" s="1"/>
  <c r="D59" i="4"/>
  <c r="D61" i="4" s="1"/>
  <c r="D79" i="4" s="1"/>
  <c r="C59" i="4"/>
  <c r="C61" i="4" s="1"/>
  <c r="C79" i="4" s="1"/>
  <c r="B59" i="4"/>
  <c r="B61" i="4" s="1"/>
  <c r="B79" i="4" s="1"/>
  <c r="M59" i="4"/>
  <c r="M61" i="4" s="1"/>
  <c r="M79" i="4" s="1"/>
  <c r="L59" i="4"/>
  <c r="L61" i="4" s="1"/>
  <c r="L79" i="4" s="1"/>
  <c r="K59" i="4"/>
  <c r="K61" i="4" s="1"/>
  <c r="K79" i="4" s="1"/>
  <c r="J59" i="4"/>
  <c r="J61" i="4" s="1"/>
  <c r="J79" i="4" s="1"/>
  <c r="I59" i="4"/>
  <c r="I61" i="4" s="1"/>
  <c r="I79" i="4" s="1"/>
  <c r="H59" i="4"/>
  <c r="H61" i="4" s="1"/>
  <c r="H79" i="4" s="1"/>
  <c r="G59" i="4"/>
  <c r="G61" i="4" s="1"/>
  <c r="G79" i="4" s="1"/>
  <c r="E59" i="4"/>
  <c r="E61" i="4" s="1"/>
  <c r="E79" i="4" s="1"/>
  <c r="L11" i="4"/>
  <c r="M11" i="4"/>
  <c r="N11" i="4"/>
  <c r="O11" i="4"/>
  <c r="L13" i="4"/>
  <c r="M13" i="4"/>
  <c r="N13" i="4"/>
  <c r="O13" i="4"/>
  <c r="L14" i="4"/>
  <c r="M14" i="4"/>
  <c r="N14" i="4"/>
  <c r="O14" i="4"/>
  <c r="L15" i="4"/>
  <c r="M15" i="4"/>
  <c r="N15" i="4"/>
  <c r="O15" i="4"/>
  <c r="L16" i="4"/>
  <c r="M16" i="4"/>
  <c r="N16" i="4"/>
  <c r="O16" i="4"/>
  <c r="G11" i="4"/>
  <c r="H11" i="4"/>
  <c r="I11" i="4"/>
  <c r="J11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C11" i="4"/>
  <c r="E11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O10" i="4"/>
  <c r="N10" i="4"/>
  <c r="M10" i="4"/>
  <c r="L10" i="4"/>
  <c r="J10" i="4"/>
  <c r="I10" i="4"/>
  <c r="H10" i="4"/>
  <c r="G10" i="4"/>
  <c r="E10" i="4"/>
  <c r="D10" i="4"/>
  <c r="C10" i="4"/>
  <c r="B10" i="4"/>
  <c r="L287" i="4"/>
  <c r="B5" i="4"/>
  <c r="B39" i="4" s="1"/>
  <c r="C52" i="4" l="1"/>
  <c r="C51" i="4" s="1"/>
  <c r="C115" i="4"/>
  <c r="E52" i="4"/>
  <c r="E51" i="4" s="1"/>
  <c r="E115" i="4"/>
  <c r="G52" i="4"/>
  <c r="G51" i="4" s="1"/>
  <c r="G115" i="4"/>
  <c r="I52" i="4"/>
  <c r="I51" i="4" s="1"/>
  <c r="I115" i="4"/>
  <c r="K52" i="4"/>
  <c r="K51" i="4" s="1"/>
  <c r="K115" i="4"/>
  <c r="M52" i="4"/>
  <c r="M51" i="4" s="1"/>
  <c r="M115" i="4"/>
  <c r="D52" i="4"/>
  <c r="D51" i="4" s="1"/>
  <c r="D115" i="4"/>
  <c r="F52" i="4"/>
  <c r="F51" i="4" s="1"/>
  <c r="F115" i="4"/>
  <c r="H52" i="4"/>
  <c r="H51" i="4" s="1"/>
  <c r="H115" i="4"/>
  <c r="J52" i="4"/>
  <c r="J51" i="4" s="1"/>
  <c r="J115" i="4"/>
  <c r="L52" i="4"/>
  <c r="L51" i="4" s="1"/>
  <c r="L115" i="4"/>
  <c r="L285" i="4"/>
  <c r="C287" i="4"/>
  <c r="C285" i="4" s="1"/>
  <c r="E287" i="4"/>
  <c r="E285" i="4" s="1"/>
  <c r="G287" i="4"/>
  <c r="G285" i="4" s="1"/>
  <c r="I287" i="4"/>
  <c r="I285" i="4" s="1"/>
  <c r="K287" i="4"/>
  <c r="K285" i="4" s="1"/>
  <c r="M287" i="4"/>
  <c r="M285" i="4" s="1"/>
  <c r="B287" i="4"/>
  <c r="D287" i="4"/>
  <c r="D285" i="4" s="1"/>
  <c r="F287" i="4"/>
  <c r="F285" i="4" s="1"/>
  <c r="H287" i="4"/>
  <c r="H285" i="4" s="1"/>
  <c r="J287" i="4"/>
  <c r="J285" i="4" s="1"/>
  <c r="N64" i="4"/>
  <c r="N68" i="4"/>
  <c r="N61" i="4"/>
  <c r="N60" i="4"/>
  <c r="N59" i="4"/>
  <c r="B63" i="4"/>
  <c r="N63" i="4" s="1"/>
  <c r="B285" i="4" l="1"/>
  <c r="O9" i="4" l="1"/>
  <c r="O8" i="4" s="1"/>
  <c r="N9" i="4"/>
  <c r="N8" i="4" s="1"/>
  <c r="M9" i="4"/>
  <c r="M8" i="4" s="1"/>
  <c r="L9" i="4"/>
  <c r="L8" i="4" s="1"/>
  <c r="J9" i="4"/>
  <c r="J8" i="4" s="1"/>
  <c r="I9" i="4"/>
  <c r="I8" i="4" s="1"/>
  <c r="H9" i="4"/>
  <c r="H8" i="4" s="1"/>
  <c r="G9" i="4"/>
  <c r="G8" i="4" s="1"/>
  <c r="E9" i="4"/>
  <c r="E8" i="4" s="1"/>
  <c r="D9" i="4"/>
  <c r="D8" i="4" s="1"/>
  <c r="C9" i="4"/>
  <c r="C8" i="4" s="1"/>
  <c r="B9" i="4"/>
  <c r="B8" i="4" s="1"/>
  <c r="O37" i="4"/>
  <c r="N37" i="4"/>
  <c r="M37" i="4"/>
  <c r="L37" i="4"/>
  <c r="J37" i="4"/>
  <c r="I37" i="4"/>
  <c r="H37" i="4"/>
  <c r="G37" i="4"/>
  <c r="E37" i="4"/>
  <c r="D37" i="4"/>
  <c r="C37" i="4"/>
  <c r="B37" i="4"/>
  <c r="O5" i="4"/>
  <c r="O39" i="4" s="1"/>
  <c r="N5" i="4"/>
  <c r="N39" i="4" s="1"/>
  <c r="M5" i="4"/>
  <c r="M39" i="4" s="1"/>
  <c r="L5" i="4"/>
  <c r="L39" i="4" s="1"/>
  <c r="J5" i="4"/>
  <c r="J39" i="4" s="1"/>
  <c r="I5" i="4"/>
  <c r="I39" i="4" s="1"/>
  <c r="H5" i="4"/>
  <c r="H39" i="4" s="1"/>
  <c r="G5" i="4"/>
  <c r="G39" i="4" s="1"/>
  <c r="P16" i="4"/>
  <c r="P15" i="4"/>
  <c r="P14" i="4"/>
  <c r="P13" i="4"/>
  <c r="P12" i="4"/>
  <c r="P11" i="4"/>
  <c r="P10" i="4"/>
  <c r="K16" i="4"/>
  <c r="K15" i="4"/>
  <c r="K14" i="4"/>
  <c r="K13" i="4"/>
  <c r="K12" i="4"/>
  <c r="K11" i="4"/>
  <c r="K10" i="4"/>
  <c r="F10" i="4"/>
  <c r="F11" i="4"/>
  <c r="F12" i="4"/>
  <c r="F13" i="4"/>
  <c r="F14" i="4"/>
  <c r="F15" i="4"/>
  <c r="F16" i="4"/>
  <c r="E5" i="4"/>
  <c r="E39" i="4" s="1"/>
  <c r="D5" i="4"/>
  <c r="D39" i="4" s="1"/>
  <c r="C5" i="4"/>
  <c r="C39" i="4" s="1"/>
  <c r="A24" i="4"/>
  <c r="A25" i="4"/>
  <c r="A26" i="4"/>
  <c r="A27" i="4"/>
  <c r="B124" i="4" l="1"/>
  <c r="B122" i="4"/>
  <c r="B123" i="4"/>
  <c r="B121" i="4"/>
  <c r="D122" i="4"/>
  <c r="D124" i="4"/>
  <c r="D121" i="4"/>
  <c r="D123" i="4"/>
  <c r="F124" i="4"/>
  <c r="F122" i="4"/>
  <c r="F123" i="4"/>
  <c r="F121" i="4"/>
  <c r="H122" i="4"/>
  <c r="H124" i="4"/>
  <c r="H121" i="4"/>
  <c r="H123" i="4"/>
  <c r="J124" i="4"/>
  <c r="J122" i="4"/>
  <c r="J123" i="4"/>
  <c r="J121" i="4"/>
  <c r="L122" i="4"/>
  <c r="L124" i="4"/>
  <c r="L121" i="4"/>
  <c r="L123" i="4"/>
  <c r="C121" i="4"/>
  <c r="C123" i="4"/>
  <c r="C122" i="4"/>
  <c r="C124" i="4"/>
  <c r="E121" i="4"/>
  <c r="E123" i="4"/>
  <c r="E122" i="4"/>
  <c r="E124" i="4"/>
  <c r="G121" i="4"/>
  <c r="G123" i="4"/>
  <c r="G122" i="4"/>
  <c r="G124" i="4"/>
  <c r="I121" i="4"/>
  <c r="I123" i="4"/>
  <c r="I122" i="4"/>
  <c r="I124" i="4"/>
  <c r="K121" i="4"/>
  <c r="K123" i="4"/>
  <c r="K122" i="4"/>
  <c r="K124" i="4"/>
  <c r="M121" i="4"/>
  <c r="M123" i="4"/>
  <c r="M122" i="4"/>
  <c r="M124" i="4"/>
  <c r="B119" i="4"/>
  <c r="B126" i="4"/>
  <c r="D119" i="4"/>
  <c r="D126" i="4"/>
  <c r="F119" i="4"/>
  <c r="F126" i="4"/>
  <c r="H119" i="4"/>
  <c r="H126" i="4"/>
  <c r="J119" i="4"/>
  <c r="J126" i="4"/>
  <c r="L119" i="4"/>
  <c r="L126" i="4"/>
  <c r="C119" i="4"/>
  <c r="C126" i="4"/>
  <c r="E119" i="4"/>
  <c r="E126" i="4"/>
  <c r="G126" i="4"/>
  <c r="G119" i="4"/>
  <c r="I126" i="4"/>
  <c r="I119" i="4"/>
  <c r="K126" i="4"/>
  <c r="K119" i="4"/>
  <c r="M126" i="4"/>
  <c r="M119" i="4"/>
  <c r="H7" i="4"/>
  <c r="H38" i="4" s="1"/>
  <c r="J7" i="4"/>
  <c r="J38" i="4" s="1"/>
  <c r="M7" i="4"/>
  <c r="M38" i="4" s="1"/>
  <c r="O7" i="4"/>
  <c r="O38" i="4" s="1"/>
  <c r="I7" i="4"/>
  <c r="I38" i="4" s="1"/>
  <c r="C7" i="4"/>
  <c r="C38" i="4" s="1"/>
  <c r="B7" i="4"/>
  <c r="B38" i="4" s="1"/>
  <c r="D7" i="4"/>
  <c r="D38" i="4" s="1"/>
  <c r="Q16" i="4"/>
  <c r="Q14" i="4"/>
  <c r="Q12" i="4"/>
  <c r="Q11" i="4"/>
  <c r="Q13" i="4"/>
  <c r="Q15" i="4"/>
  <c r="Q10" i="4"/>
  <c r="F9" i="4"/>
  <c r="F8" i="4" s="1"/>
  <c r="P5" i="4"/>
  <c r="K9" i="4"/>
  <c r="K8" i="4" s="1"/>
  <c r="P9" i="4"/>
  <c r="P8" i="4" s="1"/>
  <c r="G7" i="4"/>
  <c r="G38" i="4" s="1"/>
  <c r="L7" i="4"/>
  <c r="L38" i="4" s="1"/>
  <c r="N7" i="4"/>
  <c r="N38" i="4" s="1"/>
  <c r="F5" i="4"/>
  <c r="E7" i="4"/>
  <c r="E38" i="4" s="1"/>
  <c r="K5" i="4"/>
  <c r="F120" i="4"/>
  <c r="K27" i="4"/>
  <c r="D120" i="4"/>
  <c r="G120" i="4"/>
  <c r="I120" i="4"/>
  <c r="H120" i="4"/>
  <c r="P26" i="4"/>
  <c r="C120" i="4"/>
  <c r="E120" i="4"/>
  <c r="F27" i="4"/>
  <c r="F26" i="4"/>
  <c r="J120" i="4"/>
  <c r="L120" i="4"/>
  <c r="P27" i="4"/>
  <c r="K120" i="4"/>
  <c r="B28" i="4"/>
  <c r="K26" i="4"/>
  <c r="M120" i="4"/>
  <c r="P39" i="4"/>
  <c r="P37" i="4"/>
  <c r="K39" i="4"/>
  <c r="K37" i="4"/>
  <c r="F39" i="4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C123" i="3"/>
  <c r="B120" i="4" l="1"/>
  <c r="B34" i="4"/>
  <c r="Q27" i="4"/>
  <c r="D123" i="3"/>
  <c r="B123" i="3" s="1"/>
  <c r="E123" i="3" s="1"/>
  <c r="C124" i="3" s="1"/>
  <c r="D124" i="3" s="1"/>
  <c r="B124" i="3" s="1"/>
  <c r="F37" i="4"/>
  <c r="Q37" i="4" s="1"/>
  <c r="K7" i="4"/>
  <c r="F7" i="4"/>
  <c r="Q39" i="4"/>
  <c r="Q9" i="4"/>
  <c r="Q8" i="4" s="1"/>
  <c r="P7" i="4"/>
  <c r="Q26" i="4"/>
  <c r="Q5" i="4"/>
  <c r="P28" i="4"/>
  <c r="P34" i="4"/>
  <c r="F34" i="4"/>
  <c r="K34" i="4"/>
  <c r="B52" i="4" l="1"/>
  <c r="B115" i="4"/>
  <c r="E124" i="3"/>
  <c r="C125" i="3" s="1"/>
  <c r="D125" i="3" s="1"/>
  <c r="B125" i="3" s="1"/>
  <c r="B67" i="4" s="1"/>
  <c r="B66" i="4" s="1"/>
  <c r="K38" i="4"/>
  <c r="P38" i="4"/>
  <c r="Q7" i="4"/>
  <c r="F38" i="4"/>
  <c r="Q28" i="4"/>
  <c r="Q34" i="4"/>
  <c r="B51" i="4" l="1"/>
  <c r="N51" i="4" s="1"/>
  <c r="N52" i="4"/>
  <c r="B69" i="4"/>
  <c r="Q38" i="4"/>
  <c r="B17" i="4"/>
  <c r="B40" i="4" s="1"/>
  <c r="E125" i="3"/>
  <c r="C126" i="3" s="1"/>
  <c r="B18" i="4" l="1"/>
  <c r="B126" i="3"/>
  <c r="E126" i="3" l="1"/>
  <c r="C127" i="3" s="1"/>
  <c r="B127" i="3" s="1"/>
  <c r="B36" i="4"/>
  <c r="B54" i="4" s="1"/>
  <c r="B42" i="4" l="1"/>
  <c r="E127" i="3"/>
  <c r="B43" i="4" l="1"/>
  <c r="C128" i="3"/>
  <c r="B55" i="4" l="1"/>
  <c r="B53" i="4" s="1"/>
  <c r="B56" i="4" s="1"/>
  <c r="B80" i="4" s="1"/>
  <c r="B118" i="4"/>
  <c r="B117" i="4" s="1"/>
  <c r="B128" i="3"/>
  <c r="C67" i="4" s="1"/>
  <c r="C66" i="4" s="1"/>
  <c r="C17" i="4"/>
  <c r="C40" i="4" s="1"/>
  <c r="B44" i="4"/>
  <c r="B116" i="4" s="1"/>
  <c r="B81" i="4" l="1"/>
  <c r="C290" i="4" s="1"/>
  <c r="E128" i="3"/>
  <c r="C129" i="3" s="1"/>
  <c r="B129" i="3" s="1"/>
  <c r="E129" i="3" s="1"/>
  <c r="C130" i="3" s="1"/>
  <c r="B130" i="3" s="1"/>
  <c r="E130" i="3" s="1"/>
  <c r="C131" i="3" s="1"/>
  <c r="D17" i="4" s="1"/>
  <c r="D40" i="4" s="1"/>
  <c r="C18" i="4"/>
  <c r="B286" i="4"/>
  <c r="B70" i="4"/>
  <c r="C69" i="4"/>
  <c r="C36" i="4"/>
  <c r="C54" i="4" s="1"/>
  <c r="B82" i="4" l="1"/>
  <c r="B85" i="4"/>
  <c r="B72" i="4"/>
  <c r="B78" i="3" s="1"/>
  <c r="B73" i="4"/>
  <c r="D18" i="4"/>
  <c r="C42" i="4"/>
  <c r="B131" i="3"/>
  <c r="E131" i="3" s="1"/>
  <c r="C132" i="3" s="1"/>
  <c r="C284" i="4" l="1"/>
  <c r="C291" i="4"/>
  <c r="C292" i="4" s="1"/>
  <c r="B79" i="3"/>
  <c r="D67" i="4"/>
  <c r="C71" i="4"/>
  <c r="C43" i="4"/>
  <c r="D36" i="4"/>
  <c r="D54" i="4" s="1"/>
  <c r="B132" i="3"/>
  <c r="C55" i="4" l="1"/>
  <c r="C53" i="4" s="1"/>
  <c r="C118" i="4"/>
  <c r="C117" i="4" s="1"/>
  <c r="E132" i="3"/>
  <c r="C133" i="3" s="1"/>
  <c r="B133" i="3" s="1"/>
  <c r="D66" i="4"/>
  <c r="C44" i="4"/>
  <c r="C116" i="4" s="1"/>
  <c r="D42" i="4"/>
  <c r="E133" i="3" l="1"/>
  <c r="C134" i="3" s="1"/>
  <c r="E17" i="4" s="1"/>
  <c r="E40" i="4" s="1"/>
  <c r="D69" i="4"/>
  <c r="C56" i="4"/>
  <c r="C80" i="4" s="1"/>
  <c r="D43" i="4"/>
  <c r="C81" i="4" l="1"/>
  <c r="D290" i="4" s="1"/>
  <c r="D55" i="4"/>
  <c r="D53" i="4" s="1"/>
  <c r="D118" i="4"/>
  <c r="D117" i="4" s="1"/>
  <c r="C286" i="4"/>
  <c r="E18" i="4"/>
  <c r="F18" i="4" s="1"/>
  <c r="C70" i="4"/>
  <c r="B134" i="3"/>
  <c r="F17" i="4"/>
  <c r="D44" i="4"/>
  <c r="D116" i="4" s="1"/>
  <c r="E36" i="4"/>
  <c r="E54" i="4" s="1"/>
  <c r="F40" i="4"/>
  <c r="C85" i="4" l="1"/>
  <c r="C82" i="4"/>
  <c r="C73" i="4"/>
  <c r="C72" i="4"/>
  <c r="C78" i="3" s="1"/>
  <c r="D56" i="4"/>
  <c r="D80" i="4" s="1"/>
  <c r="E134" i="3"/>
  <c r="C135" i="3" s="1"/>
  <c r="B135" i="3" s="1"/>
  <c r="E67" i="4"/>
  <c r="E42" i="4"/>
  <c r="F36" i="4"/>
  <c r="D284" i="4" l="1"/>
  <c r="D291" i="4"/>
  <c r="D292" i="4" s="1"/>
  <c r="D81" i="4"/>
  <c r="D286" i="4"/>
  <c r="C79" i="3"/>
  <c r="E66" i="4"/>
  <c r="D71" i="4"/>
  <c r="E135" i="3"/>
  <c r="C136" i="3" s="1"/>
  <c r="B136" i="3" s="1"/>
  <c r="D70" i="4"/>
  <c r="D73" i="4" s="1"/>
  <c r="E43" i="4"/>
  <c r="F42" i="4"/>
  <c r="D82" i="4" l="1"/>
  <c r="E291" i="4" s="1"/>
  <c r="E292" i="4" s="1"/>
  <c r="E290" i="4"/>
  <c r="D85" i="4"/>
  <c r="E55" i="4"/>
  <c r="E53" i="4" s="1"/>
  <c r="E118" i="4"/>
  <c r="E117" i="4" s="1"/>
  <c r="E136" i="3"/>
  <c r="C137" i="3" s="1"/>
  <c r="B137" i="3" s="1"/>
  <c r="E137" i="3" s="1"/>
  <c r="C138" i="3" s="1"/>
  <c r="B138" i="3" s="1"/>
  <c r="D72" i="4"/>
  <c r="E69" i="4"/>
  <c r="E44" i="4"/>
  <c r="F43" i="4"/>
  <c r="E284" i="4" l="1"/>
  <c r="D78" i="3"/>
  <c r="D79" i="3"/>
  <c r="F44" i="4"/>
  <c r="E116" i="4"/>
  <c r="E138" i="3"/>
  <c r="C139" i="3" s="1"/>
  <c r="B139" i="3" s="1"/>
  <c r="E139" i="3" s="1"/>
  <c r="C140" i="3" s="1"/>
  <c r="H17" i="4" s="1"/>
  <c r="H40" i="4" s="1"/>
  <c r="E71" i="4"/>
  <c r="E56" i="4"/>
  <c r="E80" i="4" s="1"/>
  <c r="G17" i="4"/>
  <c r="G40" i="4" s="1"/>
  <c r="F67" i="4"/>
  <c r="E81" i="4" l="1"/>
  <c r="F290" i="4" s="1"/>
  <c r="E286" i="4"/>
  <c r="F66" i="4"/>
  <c r="G18" i="4"/>
  <c r="E70" i="4"/>
  <c r="H36" i="4"/>
  <c r="G54" i="4" s="1"/>
  <c r="H18" i="4"/>
  <c r="G36" i="4"/>
  <c r="F54" i="4" s="1"/>
  <c r="B140" i="3"/>
  <c r="E140" i="3" s="1"/>
  <c r="C141" i="3" s="1"/>
  <c r="E85" i="4" l="1"/>
  <c r="E82" i="4"/>
  <c r="G67" i="4"/>
  <c r="G66" i="4" s="1"/>
  <c r="G69" i="4" s="1"/>
  <c r="E73" i="4"/>
  <c r="F69" i="4"/>
  <c r="E72" i="4"/>
  <c r="E78" i="3" s="1"/>
  <c r="H42" i="4"/>
  <c r="H43" i="4" s="1"/>
  <c r="G118" i="4" s="1"/>
  <c r="G117" i="4" s="1"/>
  <c r="G42" i="4"/>
  <c r="B141" i="3"/>
  <c r="F284" i="4" l="1"/>
  <c r="F291" i="4"/>
  <c r="F292" i="4" s="1"/>
  <c r="E79" i="3"/>
  <c r="E141" i="3"/>
  <c r="C142" i="3" s="1"/>
  <c r="B142" i="3" s="1"/>
  <c r="F71" i="4"/>
  <c r="H44" i="4"/>
  <c r="G116" i="4" s="1"/>
  <c r="G55" i="4"/>
  <c r="G53" i="4" s="1"/>
  <c r="G56" i="4" s="1"/>
  <c r="G80" i="4" s="1"/>
  <c r="G81" i="4" s="1"/>
  <c r="G43" i="4"/>
  <c r="G85" i="4" l="1"/>
  <c r="H290" i="4"/>
  <c r="F55" i="4"/>
  <c r="F53" i="4" s="1"/>
  <c r="F118" i="4"/>
  <c r="F117" i="4" s="1"/>
  <c r="G70" i="4"/>
  <c r="E142" i="3"/>
  <c r="C143" i="3" s="1"/>
  <c r="I17" i="4" s="1"/>
  <c r="I40" i="4" s="1"/>
  <c r="G44" i="4"/>
  <c r="F116" i="4" s="1"/>
  <c r="G286" i="4" l="1"/>
  <c r="F56" i="4"/>
  <c r="F80" i="4" s="1"/>
  <c r="B143" i="3"/>
  <c r="I18" i="4"/>
  <c r="I36" i="4"/>
  <c r="H54" i="4" s="1"/>
  <c r="F81" i="4" l="1"/>
  <c r="G290" i="4" s="1"/>
  <c r="F70" i="4"/>
  <c r="F72" i="4" s="1"/>
  <c r="F78" i="3" s="1"/>
  <c r="E143" i="3"/>
  <c r="C144" i="3" s="1"/>
  <c r="B144" i="3" s="1"/>
  <c r="H67" i="4"/>
  <c r="H66" i="4" s="1"/>
  <c r="H69" i="4" s="1"/>
  <c r="I42" i="4"/>
  <c r="F85" i="4" l="1"/>
  <c r="F82" i="4"/>
  <c r="F73" i="4"/>
  <c r="G73" i="4" s="1"/>
  <c r="F286" i="4"/>
  <c r="F79" i="3"/>
  <c r="E144" i="3"/>
  <c r="C145" i="3" s="1"/>
  <c r="B145" i="3" s="1"/>
  <c r="E145" i="3" s="1"/>
  <c r="C146" i="3" s="1"/>
  <c r="J17" i="4" s="1"/>
  <c r="J40" i="4" s="1"/>
  <c r="G71" i="4"/>
  <c r="G72" i="4" s="1"/>
  <c r="G78" i="3" s="1"/>
  <c r="I43" i="4"/>
  <c r="G82" i="4" l="1"/>
  <c r="H291" i="4" s="1"/>
  <c r="H292" i="4" s="1"/>
  <c r="G291" i="4"/>
  <c r="G292" i="4" s="1"/>
  <c r="H55" i="4"/>
  <c r="H53" i="4" s="1"/>
  <c r="H56" i="4" s="1"/>
  <c r="H80" i="4" s="1"/>
  <c r="H81" i="4" s="1"/>
  <c r="H118" i="4"/>
  <c r="H117" i="4" s="1"/>
  <c r="G79" i="3"/>
  <c r="J18" i="4"/>
  <c r="K18" i="4" s="1"/>
  <c r="B146" i="3"/>
  <c r="E146" i="3" s="1"/>
  <c r="C147" i="3" s="1"/>
  <c r="K17" i="4"/>
  <c r="H71" i="4"/>
  <c r="I44" i="4"/>
  <c r="H116" i="4" s="1"/>
  <c r="J36" i="4"/>
  <c r="I54" i="4" s="1"/>
  <c r="K40" i="4"/>
  <c r="D159" i="3"/>
  <c r="H85" i="4" l="1"/>
  <c r="I290" i="4"/>
  <c r="H82" i="4"/>
  <c r="I291" i="4" s="1"/>
  <c r="I292" i="4" s="1"/>
  <c r="I67" i="4"/>
  <c r="I66" i="4" s="1"/>
  <c r="I69" i="4" s="1"/>
  <c r="H70" i="4"/>
  <c r="H73" i="4" s="1"/>
  <c r="H284" i="4"/>
  <c r="G284" i="4"/>
  <c r="H286" i="4"/>
  <c r="J42" i="4"/>
  <c r="K36" i="4"/>
  <c r="B147" i="3"/>
  <c r="H72" i="4" l="1"/>
  <c r="H78" i="3" s="1"/>
  <c r="I284" i="4"/>
  <c r="E147" i="3"/>
  <c r="C148" i="3" s="1"/>
  <c r="B148" i="3" s="1"/>
  <c r="E148" i="3" s="1"/>
  <c r="C149" i="3" s="1"/>
  <c r="L17" i="4" s="1"/>
  <c r="L40" i="4" s="1"/>
  <c r="J43" i="4"/>
  <c r="K42" i="4"/>
  <c r="H79" i="3" l="1"/>
  <c r="I71" i="4"/>
  <c r="I55" i="4"/>
  <c r="I53" i="4" s="1"/>
  <c r="I56" i="4" s="1"/>
  <c r="I80" i="4" s="1"/>
  <c r="I81" i="4" s="1"/>
  <c r="J290" i="4" s="1"/>
  <c r="I118" i="4"/>
  <c r="I117" i="4" s="1"/>
  <c r="L18" i="4"/>
  <c r="J44" i="4"/>
  <c r="K43" i="4"/>
  <c r="B149" i="3"/>
  <c r="E149" i="3" s="1"/>
  <c r="C150" i="3" s="1"/>
  <c r="I85" i="4" l="1"/>
  <c r="I82" i="4"/>
  <c r="J291" i="4" s="1"/>
  <c r="J292" i="4" s="1"/>
  <c r="I70" i="4"/>
  <c r="I73" i="4" s="1"/>
  <c r="K44" i="4"/>
  <c r="I116" i="4"/>
  <c r="I286" i="4"/>
  <c r="J67" i="4"/>
  <c r="J66" i="4" s="1"/>
  <c r="J69" i="4" s="1"/>
  <c r="L36" i="4"/>
  <c r="J54" i="4" s="1"/>
  <c r="B150" i="3"/>
  <c r="I72" i="4" l="1"/>
  <c r="I78" i="3" s="1"/>
  <c r="J284" i="4"/>
  <c r="E150" i="3"/>
  <c r="C151" i="3" s="1"/>
  <c r="B151" i="3" s="1"/>
  <c r="E151" i="3" s="1"/>
  <c r="C152" i="3" s="1"/>
  <c r="M17" i="4" s="1"/>
  <c r="M40" i="4" s="1"/>
  <c r="L42" i="4"/>
  <c r="I79" i="3" l="1"/>
  <c r="J71" i="4"/>
  <c r="M18" i="4"/>
  <c r="L43" i="4"/>
  <c r="B152" i="3"/>
  <c r="E152" i="3" s="1"/>
  <c r="C153" i="3" s="1"/>
  <c r="J55" i="4" l="1"/>
  <c r="J53" i="4" s="1"/>
  <c r="J56" i="4" s="1"/>
  <c r="J80" i="4" s="1"/>
  <c r="J81" i="4" s="1"/>
  <c r="K290" i="4" s="1"/>
  <c r="J118" i="4"/>
  <c r="J117" i="4" s="1"/>
  <c r="K67" i="4"/>
  <c r="K66" i="4" s="1"/>
  <c r="K69" i="4" s="1"/>
  <c r="L44" i="4"/>
  <c r="J116" i="4" s="1"/>
  <c r="M36" i="4"/>
  <c r="K54" i="4" s="1"/>
  <c r="B153" i="3"/>
  <c r="J85" i="4" l="1"/>
  <c r="J82" i="4"/>
  <c r="K291" i="4" s="1"/>
  <c r="K292" i="4" s="1"/>
  <c r="J70" i="4"/>
  <c r="J72" i="4" s="1"/>
  <c r="J78" i="3" s="1"/>
  <c r="J286" i="4"/>
  <c r="E153" i="3"/>
  <c r="C154" i="3" s="1"/>
  <c r="B154" i="3" s="1"/>
  <c r="E154" i="3" s="1"/>
  <c r="C155" i="3" s="1"/>
  <c r="N17" i="4" s="1"/>
  <c r="N40" i="4" s="1"/>
  <c r="M42" i="4"/>
  <c r="J79" i="3" l="1"/>
  <c r="J73" i="4"/>
  <c r="K71" i="4"/>
  <c r="K284" i="4"/>
  <c r="N18" i="4"/>
  <c r="M43" i="4"/>
  <c r="B155" i="3"/>
  <c r="E155" i="3" s="1"/>
  <c r="C156" i="3" s="1"/>
  <c r="K55" i="4" l="1"/>
  <c r="K53" i="4" s="1"/>
  <c r="K56" i="4" s="1"/>
  <c r="K80" i="4" s="1"/>
  <c r="K81" i="4" s="1"/>
  <c r="L290" i="4" s="1"/>
  <c r="K118" i="4"/>
  <c r="K117" i="4" s="1"/>
  <c r="L67" i="4"/>
  <c r="L66" i="4" s="1"/>
  <c r="L69" i="4" s="1"/>
  <c r="M44" i="4"/>
  <c r="K116" i="4" s="1"/>
  <c r="N36" i="4"/>
  <c r="B156" i="3"/>
  <c r="N54" i="4" l="1"/>
  <c r="L54" i="4"/>
  <c r="K85" i="4"/>
  <c r="K82" i="4"/>
  <c r="L291" i="4" s="1"/>
  <c r="L292" i="4" s="1"/>
  <c r="K70" i="4"/>
  <c r="K73" i="4" s="1"/>
  <c r="K286" i="4"/>
  <c r="E156" i="3"/>
  <c r="C157" i="3" s="1"/>
  <c r="B157" i="3" s="1"/>
  <c r="N42" i="4"/>
  <c r="K72" i="4" l="1"/>
  <c r="K78" i="3" s="1"/>
  <c r="L284" i="4"/>
  <c r="N43" i="4"/>
  <c r="E157" i="3"/>
  <c r="C158" i="3" s="1"/>
  <c r="O17" i="4" s="1"/>
  <c r="O40" i="4" s="1"/>
  <c r="K79" i="3" l="1"/>
  <c r="L71" i="4"/>
  <c r="L55" i="4"/>
  <c r="L53" i="4" s="1"/>
  <c r="L56" i="4" s="1"/>
  <c r="L80" i="4" s="1"/>
  <c r="L81" i="4" s="1"/>
  <c r="M290" i="4" s="1"/>
  <c r="L118" i="4"/>
  <c r="L117" i="4" s="1"/>
  <c r="O18" i="4"/>
  <c r="P18" i="4" s="1"/>
  <c r="Q18" i="4" s="1"/>
  <c r="P17" i="4"/>
  <c r="Q17" i="4" s="1"/>
  <c r="N44" i="4"/>
  <c r="L116" i="4" s="1"/>
  <c r="B158" i="3"/>
  <c r="M67" i="4" s="1"/>
  <c r="C159" i="3"/>
  <c r="L85" i="4" l="1"/>
  <c r="L82" i="4"/>
  <c r="M291" i="4" s="1"/>
  <c r="M292" i="4" s="1"/>
  <c r="L70" i="4"/>
  <c r="L73" i="4" s="1"/>
  <c r="L286" i="4"/>
  <c r="M66" i="4"/>
  <c r="N67" i="4"/>
  <c r="O36" i="4"/>
  <c r="M54" i="4" s="1"/>
  <c r="P40" i="4"/>
  <c r="Q40" i="4" s="1"/>
  <c r="B159" i="3"/>
  <c r="E158" i="3"/>
  <c r="L72" i="4" l="1"/>
  <c r="L78" i="3" s="1"/>
  <c r="M284" i="4"/>
  <c r="M69" i="4"/>
  <c r="N66" i="4"/>
  <c r="O42" i="4"/>
  <c r="P36" i="4"/>
  <c r="Q36" i="4" s="1"/>
  <c r="L79" i="3" l="1"/>
  <c r="M71" i="4"/>
  <c r="N69" i="4"/>
  <c r="O43" i="4"/>
  <c r="P42" i="4"/>
  <c r="Q42" i="4" s="1"/>
  <c r="M55" i="4" l="1"/>
  <c r="N55" i="4" s="1"/>
  <c r="M118" i="4"/>
  <c r="M117" i="4" s="1"/>
  <c r="O44" i="4"/>
  <c r="P43" i="4"/>
  <c r="Q43" i="4" s="1"/>
  <c r="M53" i="4" l="1"/>
  <c r="M56" i="4" s="1"/>
  <c r="M80" i="4" s="1"/>
  <c r="P44" i="4"/>
  <c r="Q44" i="4" s="1"/>
  <c r="M116" i="4"/>
  <c r="M81" i="4" l="1"/>
  <c r="N290" i="4" s="1"/>
  <c r="B88" i="4"/>
  <c r="B90" i="4" s="1"/>
  <c r="N53" i="4"/>
  <c r="M286" i="4"/>
  <c r="B91" i="4" s="1"/>
  <c r="N56" i="4"/>
  <c r="M70" i="4"/>
  <c r="M85" i="4" l="1"/>
  <c r="B87" i="4" s="1"/>
  <c r="B89" i="4"/>
  <c r="M82" i="4"/>
  <c r="N70" i="4"/>
  <c r="M73" i="4"/>
  <c r="M72" i="4"/>
  <c r="M78" i="3" s="1"/>
  <c r="N284" i="4" l="1"/>
  <c r="N291" i="4"/>
  <c r="N292" i="4" s="1"/>
  <c r="M79" i="3"/>
  <c r="N72" i="4"/>
  <c r="P291" i="4" l="1"/>
  <c r="O291" i="4"/>
  <c r="Q291" i="4" l="1"/>
  <c r="B92" i="4" s="1"/>
</calcChain>
</file>

<file path=xl/sharedStrings.xml><?xml version="1.0" encoding="utf-8"?>
<sst xmlns="http://schemas.openxmlformats.org/spreadsheetml/2006/main" count="485" uniqueCount="227">
  <si>
    <t>Базовая ставка арендной платы (1м2)</t>
  </si>
  <si>
    <t>Аб</t>
  </si>
  <si>
    <t>Действующая годовая ставка земельного налога</t>
  </si>
  <si>
    <t>Аз</t>
  </si>
  <si>
    <t>Коэффициент престижности места расположения</t>
  </si>
  <si>
    <t>К2</t>
  </si>
  <si>
    <t>Коэффициент расположения помещения внутри здания</t>
  </si>
  <si>
    <t>К3</t>
  </si>
  <si>
    <t>Коэффициент технического обустройства помещения</t>
  </si>
  <si>
    <t>К4</t>
  </si>
  <si>
    <t>Коэффициент сезонности работы объекта</t>
  </si>
  <si>
    <t>К5</t>
  </si>
  <si>
    <t>Коэффициент резервирования</t>
  </si>
  <si>
    <t>К6</t>
  </si>
  <si>
    <t>Коэффициент почасового использования помещения</t>
  </si>
  <si>
    <t>К7</t>
  </si>
  <si>
    <t>прогноз инфляции годовой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</si>
  <si>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</si>
  <si>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</si>
  <si>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</si>
  <si>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</si>
  <si>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</si>
  <si>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</si>
  <si>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</si>
  <si>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</si>
  <si>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</si>
  <si>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</si>
  <si>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</si>
  <si>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</si>
  <si>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1 год</t>
  </si>
  <si>
    <t>2 год</t>
  </si>
  <si>
    <t>3 год</t>
  </si>
  <si>
    <t>Прогноз создания рабочих мест</t>
  </si>
  <si>
    <t>уровень индексации оплаты труда, ежегодный, %</t>
  </si>
  <si>
    <t>количество работающих сотрудников</t>
  </si>
  <si>
    <t>система налогообложения</t>
  </si>
  <si>
    <t>ОСНО (20% от прибыли)</t>
  </si>
  <si>
    <t>УСНО (6% от дохода)</t>
  </si>
  <si>
    <t>УСНО (15% от прибыли)</t>
  </si>
  <si>
    <t>ВЫБОР НАЛОГООБЛОЖЕНИЯ</t>
  </si>
  <si>
    <t>Удельные материальные затраты на 1 ед. продукции/услуг, руб.</t>
  </si>
  <si>
    <t>ВИДЫ ДЕЯТЕЛЬНОСТИ</t>
  </si>
  <si>
    <t>Образование</t>
  </si>
  <si>
    <t>Полиграфическая д-ть</t>
  </si>
  <si>
    <t>Научная д-ть, IT</t>
  </si>
  <si>
    <t>Производство</t>
  </si>
  <si>
    <t>Иное</t>
  </si>
  <si>
    <t>Вид экономической деятельности по проекту</t>
  </si>
  <si>
    <t>Отчисления во внебюджетные фонды</t>
  </si>
  <si>
    <t>Прогноз объемов производства товаров/услуг, в нат. Показателях</t>
  </si>
  <si>
    <t>Потребность в кредите для старта проекта</t>
  </si>
  <si>
    <t>сумма кредита, руб.</t>
  </si>
  <si>
    <t>срок кредита, мес.</t>
  </si>
  <si>
    <t>процентная ставка годовых, %</t>
  </si>
  <si>
    <t>Привлечение собственного капитала для старта проекта</t>
  </si>
  <si>
    <t>Сумма вложений инвестора, руб.</t>
  </si>
  <si>
    <t>Расходы на рекламу и продвижение</t>
  </si>
  <si>
    <t>ВНЕБЮДЖЕТНЫЕ ФОНДЫ</t>
  </si>
  <si>
    <t>ПФ страховая часть</t>
  </si>
  <si>
    <t>ФФОМС</t>
  </si>
  <si>
    <t>ФСС</t>
  </si>
  <si>
    <t>ФСС от несчастных случаев на производстве</t>
  </si>
  <si>
    <t>Этажность корпуса</t>
  </si>
  <si>
    <t>отсрочка по выплате основной суммы долга, мес.</t>
  </si>
  <si>
    <t>АННУИТЕТНЫЙ ПЛАТЕЖ</t>
  </si>
  <si>
    <t>месяц</t>
  </si>
  <si>
    <t>тело долга</t>
  </si>
  <si>
    <t>проценты по долгу</t>
  </si>
  <si>
    <t>сумма платежа</t>
  </si>
  <si>
    <t>остаток долга</t>
  </si>
  <si>
    <t>ВСЕГО ЗА ПЕРИОД</t>
  </si>
  <si>
    <t>Затраты всего, в т.ч.</t>
  </si>
  <si>
    <t>зарплата персонала</t>
  </si>
  <si>
    <t>отчисления во внебюджетные фонды</t>
  </si>
  <si>
    <t>материалы и комплектующие</t>
  </si>
  <si>
    <t>прочие затраты</t>
  </si>
  <si>
    <t>Прибыль до налогообложения</t>
  </si>
  <si>
    <t>Налог на прибыль</t>
  </si>
  <si>
    <t>Чистая прибыль</t>
  </si>
  <si>
    <t>1 кв-л</t>
  </si>
  <si>
    <t>2 кв-л</t>
  </si>
  <si>
    <t>3 кв-л</t>
  </si>
  <si>
    <t>4 кв-л</t>
  </si>
  <si>
    <t xml:space="preserve">1 год </t>
  </si>
  <si>
    <t>ИТОГО 1 год</t>
  </si>
  <si>
    <t xml:space="preserve">2 год </t>
  </si>
  <si>
    <t xml:space="preserve">3 год </t>
  </si>
  <si>
    <t>ИТОГО 2 год</t>
  </si>
  <si>
    <t>ИТОГО 3 год</t>
  </si>
  <si>
    <t>ВСЕГО за 3 года</t>
  </si>
  <si>
    <t>Выручка от продаж</t>
  </si>
  <si>
    <t>операционная деятельность</t>
  </si>
  <si>
    <t>денежный приток:</t>
  </si>
  <si>
    <t>денежный отток:</t>
  </si>
  <si>
    <t>налоги</t>
  </si>
  <si>
    <t>Сальдо операционных потоков</t>
  </si>
  <si>
    <t xml:space="preserve">инвестиционная деятельность </t>
  </si>
  <si>
    <t>капитальные вложения</t>
  </si>
  <si>
    <t>Сальдо инвестиционных потоков</t>
  </si>
  <si>
    <t>финансовая деятельность</t>
  </si>
  <si>
    <t>Сальдо финансовых потоков</t>
  </si>
  <si>
    <t>ИТОГО САЛЬДО ДЕНЕЖНЫХ ПОТОКОВ</t>
  </si>
  <si>
    <t>средства на начало периода</t>
  </si>
  <si>
    <t>средства на конец периода</t>
  </si>
  <si>
    <t>Сальдо денежных потоков нарастающим итогом</t>
  </si>
  <si>
    <t>Показатель</t>
  </si>
  <si>
    <t>Номенклатура производимой продукции/услуг</t>
  </si>
  <si>
    <t>Номенклатура затрат</t>
  </si>
  <si>
    <t>Затраты на оплату труда</t>
  </si>
  <si>
    <t>Арендные платежи, в т.ч.:</t>
  </si>
  <si>
    <t>ИТОГО ЗАТРАТЫ</t>
  </si>
  <si>
    <t>Проценты по кредиту</t>
  </si>
  <si>
    <t>Показатели</t>
  </si>
  <si>
    <t>выручка от продаж</t>
  </si>
  <si>
    <t>текущие затраты</t>
  </si>
  <si>
    <t>Кредит</t>
  </si>
  <si>
    <t>Возврат кредитных средств</t>
  </si>
  <si>
    <t>Займ учредителя</t>
  </si>
  <si>
    <t>Возврат займов учредителя</t>
  </si>
  <si>
    <t>наличие кассового разрыва</t>
  </si>
  <si>
    <t>Прогноз инвестиций (инвестиционные затраты, руб.)</t>
  </si>
  <si>
    <t>Квартальная ставка дисконтирования</t>
  </si>
  <si>
    <t>Коэффициент дисконтирования</t>
  </si>
  <si>
    <t>сумма остатка на счетах на конец периода, тыс. руб.</t>
  </si>
  <si>
    <t>Получение беспроцентного займа учредителя, руб.</t>
  </si>
  <si>
    <t>Возврат беспроцентного займа учредителя, руб.</t>
  </si>
  <si>
    <t>Ключевая ставка ЦБ РФ</t>
  </si>
  <si>
    <t xml:space="preserve">Средневзвешенная стоимость капитала WACC = </t>
  </si>
  <si>
    <t xml:space="preserve">Чистая приведенная стоимость капитала NPV = </t>
  </si>
  <si>
    <t xml:space="preserve">Внутренняя норма рентабельности IRR = </t>
  </si>
  <si>
    <t xml:space="preserve">Простая бухгалтерская норма рентабельности ARR = </t>
  </si>
  <si>
    <t>Дисконтированный денежный поток, тыс. руб.</t>
  </si>
  <si>
    <t>Денежный поток инвестиционной деятельности, тыс. руб.</t>
  </si>
  <si>
    <t>Денежный поток операционной деятельности, тыс. руб.</t>
  </si>
  <si>
    <t>Совокупный денежный поток, тыс. руб.</t>
  </si>
  <si>
    <t>Денежный поток нарастающим итогом, тыс. руб.</t>
  </si>
  <si>
    <t>Дисконтированный денежный поток инвестиционной деятельности, тыс. руб.</t>
  </si>
  <si>
    <t>Дисконтированный денежный поток операционной деятельности, тыс. руб.</t>
  </si>
  <si>
    <t>Ежемесячная зарплата в Первый год проекта</t>
  </si>
  <si>
    <t>Должность по штатному расписанию</t>
  </si>
  <si>
    <t>Номенклатура прочих затрат</t>
  </si>
  <si>
    <t>Номенклатура осуществляемых инвестиций</t>
  </si>
  <si>
    <t>Общие данные по проекту</t>
  </si>
  <si>
    <t>Период</t>
  </si>
  <si>
    <t>1 кв. 1 года</t>
  </si>
  <si>
    <t>2 кв. 1 года</t>
  </si>
  <si>
    <t>3 кв. 1 года</t>
  </si>
  <si>
    <t>4 кв. 1 года</t>
  </si>
  <si>
    <t>1 кв. 2 года</t>
  </si>
  <si>
    <t>2 кв. 2 года</t>
  </si>
  <si>
    <t>3 кв. 2 года</t>
  </si>
  <si>
    <t>4 кв. 2 года</t>
  </si>
  <si>
    <t>1 кв. 3 года</t>
  </si>
  <si>
    <t>2 кв. 3 года</t>
  </si>
  <si>
    <t>3 кв. 3 года</t>
  </si>
  <si>
    <t>4 кв. 3 года</t>
  </si>
  <si>
    <t>предъинвест. стадия</t>
  </si>
  <si>
    <t>Cash-Flow</t>
  </si>
  <si>
    <t>Плановые показатели</t>
  </si>
  <si>
    <t>I квартал 1 года</t>
  </si>
  <si>
    <t>II квартал 1 года</t>
  </si>
  <si>
    <t>III квартал 1 года</t>
  </si>
  <si>
    <t>IV квартал 1 года</t>
  </si>
  <si>
    <t>I квартал 2 года</t>
  </si>
  <si>
    <t>II квартал 2 года</t>
  </si>
  <si>
    <t>III квартал 2 года</t>
  </si>
  <si>
    <t>IV квартал 2 года</t>
  </si>
  <si>
    <t>I квартал 3 года</t>
  </si>
  <si>
    <t>II квартал 3 года</t>
  </si>
  <si>
    <t>III квартал 3 года</t>
  </si>
  <si>
    <t>IV квартал 3 года</t>
  </si>
  <si>
    <t>Налоги и отчисления во внебюджетные фонды, в т.ч.:</t>
  </si>
  <si>
    <t>НДС</t>
  </si>
  <si>
    <t>Отчисления в ФФОМС</t>
  </si>
  <si>
    <t>Отчисления в ФСС</t>
  </si>
  <si>
    <t>Отчисления в ФСС от несчастных случаев на производстве</t>
  </si>
  <si>
    <t>Средняя заработная плата на предприятии, тыс. руб. в мес.</t>
  </si>
  <si>
    <t>Численность, чел.</t>
  </si>
  <si>
    <t>Поступления, тыс. руб.</t>
  </si>
  <si>
    <t>Чистая прибыль, тыс. руб.</t>
  </si>
  <si>
    <t>Объем инвестиций/затрат на реализацию проекта (нарастающим итогом), тыс. руб.</t>
  </si>
  <si>
    <t>НДФЛ сотрудников</t>
  </si>
  <si>
    <t>Периоды</t>
  </si>
  <si>
    <t>рисунок 1 - Cash Flow проекта</t>
  </si>
  <si>
    <t>Таблица № 5 - Прогноз доходов по проекту, руб.</t>
  </si>
  <si>
    <t>Наименование заявителя</t>
  </si>
  <si>
    <t>период по бизнес-плану</t>
  </si>
  <si>
    <t xml:space="preserve">Отчисления в Пенсионный фонд </t>
  </si>
  <si>
    <t>Финансирование первоначальных затрат и формирование текущих активов</t>
  </si>
  <si>
    <t>Аренда офисных помещений</t>
  </si>
  <si>
    <t>Руководитель предприятия</t>
  </si>
  <si>
    <t>Специалист техподдержки</t>
  </si>
  <si>
    <t>Маркетолог</t>
  </si>
  <si>
    <t>Специалист отдела сопровождения (менеджер)</t>
  </si>
  <si>
    <t>Обслуживание и обновление платформы</t>
  </si>
  <si>
    <t>Серверы и хостинг</t>
  </si>
  <si>
    <t>Оплата услуг сторонних организаций (юридическое и бухгалтерское сопровождение)</t>
  </si>
  <si>
    <t>Комиссия за обработку платежей 3%</t>
  </si>
  <si>
    <t>Разработка платформы (проектирование, разрабтка дизайна, HTML-верстка, программирование)</t>
  </si>
  <si>
    <t>Тестирование</t>
  </si>
  <si>
    <t>Интеграция платежных систем</t>
  </si>
  <si>
    <t>Разработка интерфейса платформы</t>
  </si>
  <si>
    <t>Разработка маркетинговой стратегии</t>
  </si>
  <si>
    <t>Удельные затраты на единицу продукции</t>
  </si>
  <si>
    <t>Прогноз текущих затрат, руб.</t>
  </si>
  <si>
    <t>Средний чек одного заказа</t>
  </si>
  <si>
    <t>Количество активных поваров</t>
  </si>
  <si>
    <t>Количество заказов в день на 1 повара (стартовый этап)</t>
  </si>
  <si>
    <t>Общая сумма заказов</t>
  </si>
  <si>
    <t>Единица измерения</t>
  </si>
  <si>
    <t>руб</t>
  </si>
  <si>
    <t>шт</t>
  </si>
  <si>
    <t xml:space="preserve">ИТОГО ДОХОД </t>
  </si>
  <si>
    <t>Средний период окупаемости проекта PBP =</t>
  </si>
  <si>
    <t>Средний дисконтированный период окупаемости проекта DPBP =</t>
  </si>
  <si>
    <t>ПЕРИОД ОКУПАЕМОСТИ</t>
  </si>
  <si>
    <t>поток</t>
  </si>
  <si>
    <t>накопительный</t>
  </si>
  <si>
    <t>КОМИССИЯ СЕРВИСА (ДОХОД)</t>
  </si>
  <si>
    <t>Юридические услуги: регистрация ЮЛ, разработка договоров, базы по сертификации</t>
  </si>
  <si>
    <t>Техническое оснащение офиса (можно убрать)</t>
  </si>
  <si>
    <t>Прогноз получения проектом займов учредителя для покрытия кассовых разрывов, тыс. руб.</t>
  </si>
  <si>
    <t>Таблица № 4 - Структура затрат по проекту, руб.</t>
  </si>
  <si>
    <t>Таблица № 6 - Прогноз финансовых результатов поквартальный, тыс. руб.</t>
  </si>
  <si>
    <t>Таблица 7 - Прогноз движения денежных средств, тыс. руб.</t>
  </si>
  <si>
    <t>Таблица 8 - Прогноз показателей эффективности проекта</t>
  </si>
  <si>
    <t>Таблица 9 - План-график показателей проекта,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</si>
</sst>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₽&quot;;[Red]\-#,##0.00\ &quot;₽&quot;"/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_-* #,##0_-;\-* #,##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-;\-* #,##0.0_-;_-* &quot;-&quot;??_-;_-@_-"/>
    <numFmt numFmtId="168" formatCode="0.0%"/>
    <numFmt numFmtId="169" formatCode="_(* #,##0_);_(* \(#,##0\);_(* &quot;-&quot;??_);_(@_)"/>
    <numFmt numFmtId="170" formatCode="_-* #,##0\ _₽_-;\-* #,##0\ _₽_-;_-* &quot;-&quot;??\ _₽_-;_-@_-"/>
    <numFmt numFmtId="171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164" fontId="9" fillId="0" borderId="1" xfId="1" applyNumberFormat="1" applyFont="1" applyBorder="1" applyAlignment="1" applyProtection="1">
      <alignment horizontal="center"/>
      <protection hidden="1"/>
    </xf>
    <xf numFmtId="164" fontId="15" fillId="0" borderId="1" xfId="1" applyNumberFormat="1" applyFont="1" applyBorder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164" fontId="9" fillId="0" borderId="1" xfId="1" applyNumberFormat="1" applyFont="1" applyBorder="1" applyAlignment="1" applyProtection="1">
      <alignment horizontal="right"/>
      <protection hidden="1"/>
    </xf>
    <xf numFmtId="170" fontId="9" fillId="0" borderId="1" xfId="1" applyNumberFormat="1" applyFont="1" applyBorder="1" applyAlignment="1" applyProtection="1">
      <alignment horizontal="center"/>
      <protection hidden="1"/>
    </xf>
    <xf numFmtId="164" fontId="10" fillId="0" borderId="1" xfId="1" applyNumberFormat="1" applyFont="1" applyBorder="1" applyAlignment="1" applyProtection="1">
      <alignment horizontal="center"/>
      <protection hidden="1"/>
    </xf>
    <xf numFmtId="164" fontId="9" fillId="0" borderId="4" xfId="1" applyNumberFormat="1" applyFont="1" applyBorder="1" applyAlignment="1" applyProtection="1">
      <alignment horizontal="center"/>
      <protection hidden="1"/>
    </xf>
    <xf numFmtId="164" fontId="9" fillId="0" borderId="4" xfId="1" applyNumberFormat="1" applyFont="1" applyBorder="1" applyProtection="1">
      <protection hidden="1"/>
    </xf>
    <xf numFmtId="164" fontId="2" fillId="0" borderId="4" xfId="1" applyNumberFormat="1" applyFont="1" applyBorder="1" applyProtection="1">
      <protection hidden="1"/>
    </xf>
    <xf numFmtId="169" fontId="2" fillId="5" borderId="4" xfId="4" applyNumberFormat="1" applyFill="1" applyBorder="1" applyProtection="1">
      <protection hidden="1"/>
    </xf>
    <xf numFmtId="0" fontId="0" fillId="5" borderId="4" xfId="0" applyFill="1" applyBorder="1" applyProtection="1">
      <protection hidden="1"/>
    </xf>
    <xf numFmtId="169" fontId="10" fillId="0" borderId="1" xfId="1" applyNumberFormat="1" applyFont="1" applyBorder="1" applyProtection="1">
      <protection hidden="1"/>
    </xf>
    <xf numFmtId="169" fontId="9" fillId="0" borderId="1" xfId="1" applyNumberFormat="1" applyFont="1" applyBorder="1" applyProtection="1">
      <protection hidden="1"/>
    </xf>
    <xf numFmtId="164" fontId="10" fillId="0" borderId="1" xfId="1" applyNumberFormat="1" applyFont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169" fontId="10" fillId="0" borderId="1" xfId="4" applyNumberFormat="1" applyFont="1" applyBorder="1" applyProtection="1">
      <protection hidden="1"/>
    </xf>
    <xf numFmtId="169" fontId="2" fillId="0" borderId="1" xfId="4" applyNumberFormat="1" applyBorder="1" applyProtection="1">
      <protection hidden="1"/>
    </xf>
    <xf numFmtId="164" fontId="2" fillId="0" borderId="1" xfId="1" applyNumberFormat="1" applyFont="1" applyBorder="1" applyProtection="1">
      <protection hidden="1"/>
    </xf>
    <xf numFmtId="169" fontId="10" fillId="2" borderId="1" xfId="4" applyNumberFormat="1" applyFon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169" fontId="0" fillId="0" borderId="1" xfId="0" applyNumberFormat="1" applyBorder="1" applyProtection="1">
      <protection hidden="1"/>
    </xf>
    <xf numFmtId="10" fontId="0" fillId="0" borderId="1" xfId="2" applyNumberFormat="1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71" fontId="0" fillId="0" borderId="1" xfId="1" applyNumberFormat="1" applyFont="1" applyFill="1" applyBorder="1" applyProtection="1">
      <protection hidden="1"/>
    </xf>
    <xf numFmtId="164" fontId="0" fillId="0" borderId="1" xfId="1" applyNumberFormat="1" applyFont="1" applyFill="1" applyBorder="1" applyProtection="1">
      <protection hidden="1"/>
    </xf>
    <xf numFmtId="10" fontId="0" fillId="0" borderId="1" xfId="2" applyNumberFormat="1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10" fontId="0" fillId="0" borderId="1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wrapText="1"/>
      <protection hidden="1"/>
    </xf>
    <xf numFmtId="9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10" fontId="0" fillId="0" borderId="0" xfId="2" applyNumberFormat="1" applyFont="1" applyProtection="1"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vertical="center" wrapText="1"/>
      <protection hidden="1"/>
    </xf>
    <xf numFmtId="3" fontId="5" fillId="0" borderId="17" xfId="0" applyNumberFormat="1" applyFont="1" applyBorder="1" applyAlignment="1" applyProtection="1">
      <alignment horizontal="right" vertical="center" wrapText="1"/>
      <protection hidden="1"/>
    </xf>
    <xf numFmtId="43" fontId="5" fillId="0" borderId="17" xfId="1" applyFont="1" applyBorder="1" applyAlignment="1" applyProtection="1">
      <alignment horizontal="right" vertical="center" wrapText="1"/>
      <protection hidden="1"/>
    </xf>
    <xf numFmtId="0" fontId="18" fillId="0" borderId="20" xfId="0" applyFont="1" applyBorder="1" applyAlignment="1" applyProtection="1">
      <alignment vertical="center" wrapText="1"/>
      <protection hidden="1"/>
    </xf>
    <xf numFmtId="43" fontId="18" fillId="0" borderId="21" xfId="1" applyFont="1" applyBorder="1" applyAlignment="1" applyProtection="1">
      <alignment horizontal="right" vertical="center" wrapText="1"/>
      <protection hidden="1"/>
    </xf>
    <xf numFmtId="0" fontId="19" fillId="0" borderId="0" xfId="0" applyFont="1" applyProtection="1">
      <protection hidden="1"/>
    </xf>
    <xf numFmtId="0" fontId="18" fillId="0" borderId="22" xfId="0" applyFont="1" applyBorder="1" applyAlignment="1" applyProtection="1">
      <alignment vertical="center" wrapText="1"/>
      <protection hidden="1"/>
    </xf>
    <xf numFmtId="43" fontId="18" fillId="0" borderId="23" xfId="1" applyFont="1" applyBorder="1" applyAlignment="1" applyProtection="1">
      <alignment horizontal="right" vertical="center"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19" fillId="0" borderId="26" xfId="0" applyFont="1" applyBorder="1" applyAlignment="1" applyProtection="1">
      <alignment wrapText="1"/>
      <protection hidden="1"/>
    </xf>
    <xf numFmtId="43" fontId="18" fillId="0" borderId="24" xfId="1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8" fontId="0" fillId="0" borderId="0" xfId="2" applyNumberFormat="1" applyFont="1" applyProtection="1">
      <protection hidden="1"/>
    </xf>
    <xf numFmtId="164" fontId="0" fillId="0" borderId="0" xfId="1" applyNumberFormat="1" applyFont="1" applyProtection="1">
      <protection hidden="1"/>
    </xf>
    <xf numFmtId="171" fontId="0" fillId="0" borderId="0" xfId="0" applyNumberFormat="1" applyProtection="1">
      <protection hidden="1"/>
    </xf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0" borderId="0" xfId="3" applyFont="1"/>
    <xf numFmtId="9" fontId="16" fillId="0" borderId="0" xfId="0" applyNumberFormat="1" applyFont="1"/>
    <xf numFmtId="0" fontId="22" fillId="0" borderId="0" xfId="0" applyFont="1"/>
    <xf numFmtId="43" fontId="16" fillId="0" borderId="0" xfId="1" applyFont="1" applyFill="1"/>
    <xf numFmtId="0" fontId="16" fillId="0" borderId="1" xfId="0" applyFont="1" applyBorder="1"/>
    <xf numFmtId="164" fontId="16" fillId="0" borderId="0" xfId="1" applyNumberFormat="1" applyFont="1"/>
    <xf numFmtId="170" fontId="16" fillId="0" borderId="0" xfId="0" applyNumberFormat="1" applyFont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164" fontId="16" fillId="0" borderId="0" xfId="1" applyNumberFormat="1" applyFont="1" applyFill="1" applyBorder="1"/>
    <xf numFmtId="0" fontId="16" fillId="0" borderId="0" xfId="0" applyFont="1" applyAlignment="1">
      <alignment horizontal="center"/>
    </xf>
    <xf numFmtId="0" fontId="21" fillId="0" borderId="0" xfId="0" applyFont="1"/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 wrapText="1"/>
      <protection hidden="1"/>
    </xf>
    <xf numFmtId="164" fontId="16" fillId="0" borderId="1" xfId="1" applyNumberFormat="1" applyFont="1" applyBorder="1" applyAlignment="1" applyProtection="1">
      <alignment horizontal="center" wrapText="1"/>
      <protection hidden="1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6" fillId="4" borderId="1" xfId="0" applyFont="1" applyFill="1" applyBorder="1"/>
    <xf numFmtId="168" fontId="16" fillId="0" borderId="1" xfId="2" applyNumberFormat="1" applyFont="1" applyBorder="1"/>
    <xf numFmtId="164" fontId="16" fillId="0" borderId="1" xfId="1" applyNumberFormat="1" applyFont="1" applyBorder="1"/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/>
    </xf>
    <xf numFmtId="165" fontId="16" fillId="0" borderId="1" xfId="4" applyFont="1" applyBorder="1"/>
    <xf numFmtId="0" fontId="22" fillId="0" borderId="1" xfId="3" applyFont="1" applyBorder="1"/>
    <xf numFmtId="165" fontId="22" fillId="0" borderId="1" xfId="3" applyNumberFormat="1" applyFont="1" applyBorder="1"/>
    <xf numFmtId="168" fontId="20" fillId="0" borderId="1" xfId="5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4" fontId="24" fillId="3" borderId="1" xfId="1" applyNumberFormat="1" applyFont="1" applyFill="1" applyBorder="1" applyAlignment="1" applyProtection="1">
      <alignment wrapText="1"/>
      <protection locked="0"/>
    </xf>
    <xf numFmtId="164" fontId="24" fillId="3" borderId="1" xfId="1" applyNumberFormat="1" applyFont="1" applyFill="1" applyBorder="1" applyProtection="1">
      <protection locked="0"/>
    </xf>
    <xf numFmtId="164" fontId="25" fillId="3" borderId="1" xfId="1" applyNumberFormat="1" applyFont="1" applyFill="1" applyBorder="1" applyProtection="1">
      <protection locked="0"/>
    </xf>
    <xf numFmtId="0" fontId="24" fillId="3" borderId="1" xfId="0" applyFont="1" applyFill="1" applyBorder="1" applyAlignment="1" applyProtection="1">
      <alignment horizontal="center"/>
      <protection locked="0"/>
    </xf>
    <xf numFmtId="43" fontId="24" fillId="3" borderId="1" xfId="1" applyFont="1" applyFill="1" applyBorder="1" applyProtection="1">
      <protection locked="0"/>
    </xf>
    <xf numFmtId="0" fontId="24" fillId="3" borderId="1" xfId="0" applyFont="1" applyFill="1" applyBorder="1" applyProtection="1">
      <protection locked="0"/>
    </xf>
    <xf numFmtId="9" fontId="4" fillId="3" borderId="1" xfId="0" applyNumberFormat="1" applyFont="1" applyFill="1" applyBorder="1" applyProtection="1">
      <protection locked="0"/>
    </xf>
    <xf numFmtId="9" fontId="24" fillId="3" borderId="1" xfId="0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10" fontId="4" fillId="3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3" borderId="1" xfId="0" applyFont="1" applyFill="1" applyBorder="1" applyAlignment="1" applyProtection="1">
      <alignment wrapText="1"/>
      <protection locked="0"/>
    </xf>
    <xf numFmtId="1" fontId="16" fillId="0" borderId="1" xfId="0" applyNumberFormat="1" applyFont="1" applyBorder="1"/>
    <xf numFmtId="164" fontId="16" fillId="3" borderId="1" xfId="1" applyNumberFormat="1" applyFont="1" applyFill="1" applyBorder="1" applyAlignment="1" applyProtection="1">
      <alignment wrapText="1"/>
      <protection locked="0"/>
    </xf>
    <xf numFmtId="0" fontId="22" fillId="8" borderId="1" xfId="0" applyFont="1" applyFill="1" applyBorder="1" applyAlignment="1" applyProtection="1">
      <alignment wrapText="1"/>
      <protection locked="0"/>
    </xf>
    <xf numFmtId="43" fontId="28" fillId="8" borderId="1" xfId="1" applyFont="1" applyFill="1" applyBorder="1" applyProtection="1">
      <protection locked="0"/>
    </xf>
    <xf numFmtId="0" fontId="28" fillId="8" borderId="1" xfId="0" applyFont="1" applyFill="1" applyBorder="1" applyProtection="1">
      <protection locked="0"/>
    </xf>
    <xf numFmtId="170" fontId="10" fillId="8" borderId="2" xfId="1" applyNumberFormat="1" applyFont="1" applyFill="1" applyBorder="1" applyAlignment="1" applyProtection="1">
      <alignment horizontal="center" vertical="center"/>
      <protection hidden="1"/>
    </xf>
    <xf numFmtId="170" fontId="13" fillId="0" borderId="28" xfId="0" applyNumberFormat="1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170" fontId="9" fillId="0" borderId="3" xfId="1" applyNumberFormat="1" applyFont="1" applyBorder="1" applyAlignment="1" applyProtection="1">
      <alignment horizontal="center"/>
      <protection hidden="1"/>
    </xf>
    <xf numFmtId="170" fontId="10" fillId="8" borderId="6" xfId="1" applyNumberFormat="1" applyFont="1" applyFill="1" applyBorder="1" applyAlignment="1" applyProtection="1">
      <alignment horizontal="center" vertical="center"/>
      <protection hidden="1"/>
    </xf>
    <xf numFmtId="170" fontId="13" fillId="0" borderId="30" xfId="0" applyNumberFormat="1" applyFont="1" applyBorder="1" applyAlignment="1" applyProtection="1">
      <alignment vertic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170" fontId="9" fillId="0" borderId="5" xfId="1" applyNumberFormat="1" applyFont="1" applyBorder="1" applyAlignment="1" applyProtection="1">
      <alignment horizontal="center"/>
      <protection hidden="1"/>
    </xf>
    <xf numFmtId="170" fontId="10" fillId="8" borderId="7" xfId="1" applyNumberFormat="1" applyFont="1" applyFill="1" applyBorder="1" applyAlignment="1" applyProtection="1">
      <alignment horizontal="center" vertical="center"/>
      <protection hidden="1"/>
    </xf>
    <xf numFmtId="170" fontId="13" fillId="0" borderId="31" xfId="0" applyNumberFormat="1" applyFont="1" applyBorder="1" applyAlignment="1" applyProtection="1">
      <alignment vertical="center"/>
      <protection hidden="1"/>
    </xf>
    <xf numFmtId="170" fontId="10" fillId="0" borderId="22" xfId="1" applyNumberFormat="1" applyFont="1" applyBorder="1" applyAlignment="1" applyProtection="1">
      <alignment horizontal="center"/>
      <protection hidden="1"/>
    </xf>
    <xf numFmtId="170" fontId="10" fillId="8" borderId="26" xfId="1" applyNumberFormat="1" applyFont="1" applyFill="1" applyBorder="1" applyAlignment="1" applyProtection="1">
      <alignment horizontal="center" vertical="center"/>
      <protection hidden="1"/>
    </xf>
    <xf numFmtId="170" fontId="29" fillId="0" borderId="19" xfId="1" applyNumberFormat="1" applyFont="1" applyBorder="1" applyAlignment="1" applyProtection="1">
      <alignment horizontal="center" vertical="center"/>
      <protection hidden="1"/>
    </xf>
    <xf numFmtId="170" fontId="2" fillId="0" borderId="22" xfId="0" applyNumberFormat="1" applyFont="1" applyBorder="1" applyProtection="1">
      <protection hidden="1"/>
    </xf>
    <xf numFmtId="170" fontId="6" fillId="8" borderId="26" xfId="0" applyNumberFormat="1" applyFont="1" applyFill="1" applyBorder="1" applyAlignment="1" applyProtection="1">
      <alignment vertical="center"/>
      <protection hidden="1"/>
    </xf>
    <xf numFmtId="170" fontId="13" fillId="0" borderId="19" xfId="0" applyNumberFormat="1" applyFont="1" applyBorder="1" applyAlignment="1" applyProtection="1">
      <alignment vertical="center"/>
      <protection hidden="1"/>
    </xf>
    <xf numFmtId="164" fontId="9" fillId="0" borderId="2" xfId="1" applyNumberFormat="1" applyFont="1" applyBorder="1" applyAlignment="1" applyProtection="1">
      <alignment horizontal="right"/>
      <protection hidden="1"/>
    </xf>
    <xf numFmtId="164" fontId="27" fillId="0" borderId="28" xfId="1" applyNumberFormat="1" applyFont="1" applyBorder="1" applyAlignment="1" applyProtection="1">
      <alignment horizontal="right"/>
      <protection hidden="1"/>
    </xf>
    <xf numFmtId="164" fontId="6" fillId="0" borderId="28" xfId="1" applyNumberFormat="1" applyFont="1" applyBorder="1" applyAlignment="1" applyProtection="1">
      <alignment horizontal="right"/>
      <protection hidden="1"/>
    </xf>
    <xf numFmtId="164" fontId="9" fillId="0" borderId="3" xfId="1" applyNumberFormat="1" applyFont="1" applyBorder="1" applyAlignment="1" applyProtection="1">
      <alignment horizontal="center"/>
      <protection hidden="1"/>
    </xf>
    <xf numFmtId="164" fontId="15" fillId="0" borderId="3" xfId="1" applyNumberFormat="1" applyFont="1" applyBorder="1" applyAlignment="1" applyProtection="1">
      <alignment horizontal="right"/>
      <protection hidden="1"/>
    </xf>
    <xf numFmtId="164" fontId="9" fillId="0" borderId="3" xfId="1" applyNumberFormat="1" applyFont="1" applyBorder="1" applyAlignment="1" applyProtection="1">
      <alignment horizontal="right"/>
      <protection hidden="1"/>
    </xf>
    <xf numFmtId="164" fontId="9" fillId="0" borderId="6" xfId="1" applyNumberFormat="1" applyFont="1" applyBorder="1" applyAlignment="1" applyProtection="1">
      <alignment horizontal="right"/>
      <protection hidden="1"/>
    </xf>
    <xf numFmtId="164" fontId="27" fillId="0" borderId="30" xfId="1" applyNumberFormat="1" applyFont="1" applyBorder="1" applyAlignment="1" applyProtection="1">
      <alignment horizontal="right"/>
      <protection hidden="1"/>
    </xf>
    <xf numFmtId="164" fontId="9" fillId="0" borderId="5" xfId="1" applyNumberFormat="1" applyFont="1" applyBorder="1" applyAlignment="1" applyProtection="1">
      <alignment horizontal="center"/>
      <protection hidden="1"/>
    </xf>
    <xf numFmtId="164" fontId="15" fillId="0" borderId="5" xfId="1" applyNumberFormat="1" applyFont="1" applyBorder="1" applyAlignment="1" applyProtection="1">
      <alignment horizontal="right"/>
      <protection hidden="1"/>
    </xf>
    <xf numFmtId="164" fontId="9" fillId="0" borderId="5" xfId="1" applyNumberFormat="1" applyFont="1" applyBorder="1" applyAlignment="1" applyProtection="1">
      <alignment horizontal="right"/>
      <protection hidden="1"/>
    </xf>
    <xf numFmtId="164" fontId="9" fillId="0" borderId="7" xfId="1" applyNumberFormat="1" applyFont="1" applyBorder="1" applyAlignment="1" applyProtection="1">
      <alignment horizontal="right"/>
      <protection hidden="1"/>
    </xf>
    <xf numFmtId="164" fontId="6" fillId="0" borderId="31" xfId="1" applyNumberFormat="1" applyFont="1" applyBorder="1" applyAlignment="1" applyProtection="1">
      <alignment horizontal="right"/>
      <protection hidden="1"/>
    </xf>
    <xf numFmtId="164" fontId="10" fillId="0" borderId="22" xfId="1" applyNumberFormat="1" applyFont="1" applyBorder="1" applyAlignment="1" applyProtection="1">
      <alignment horizontal="center" wrapText="1"/>
      <protection hidden="1"/>
    </xf>
    <xf numFmtId="164" fontId="9" fillId="0" borderId="22" xfId="1" applyNumberFormat="1" applyFont="1" applyBorder="1" applyAlignment="1" applyProtection="1">
      <alignment horizontal="center"/>
      <protection hidden="1"/>
    </xf>
    <xf numFmtId="164" fontId="10" fillId="0" borderId="22" xfId="1" applyNumberFormat="1" applyFont="1" applyBorder="1" applyAlignment="1" applyProtection="1">
      <alignment horizontal="right" wrapText="1"/>
      <protection hidden="1"/>
    </xf>
    <xf numFmtId="164" fontId="10" fillId="0" borderId="26" xfId="1" applyNumberFormat="1" applyFont="1" applyBorder="1" applyAlignment="1" applyProtection="1">
      <alignment horizontal="right" wrapText="1"/>
      <protection hidden="1"/>
    </xf>
    <xf numFmtId="164" fontId="10" fillId="0" borderId="19" xfId="1" applyNumberFormat="1" applyFont="1" applyBorder="1" applyAlignment="1" applyProtection="1">
      <alignment horizontal="right" wrapText="1"/>
      <protection hidden="1"/>
    </xf>
    <xf numFmtId="164" fontId="6" fillId="0" borderId="30" xfId="1" applyNumberFormat="1" applyFont="1" applyBorder="1" applyAlignment="1" applyProtection="1">
      <alignment horizontal="right"/>
      <protection hidden="1"/>
    </xf>
    <xf numFmtId="164" fontId="10" fillId="0" borderId="3" xfId="1" applyNumberFormat="1" applyFont="1" applyBorder="1" applyAlignment="1" applyProtection="1">
      <alignment horizontal="center" wrapText="1"/>
      <protection hidden="1"/>
    </xf>
    <xf numFmtId="164" fontId="10" fillId="0" borderId="3" xfId="1" applyNumberFormat="1" applyFont="1" applyBorder="1" applyAlignment="1" applyProtection="1">
      <alignment horizontal="right" wrapText="1"/>
      <protection hidden="1"/>
    </xf>
    <xf numFmtId="164" fontId="10" fillId="0" borderId="6" xfId="1" applyNumberFormat="1" applyFont="1" applyBorder="1" applyAlignment="1" applyProtection="1">
      <alignment horizontal="right" wrapText="1"/>
      <protection hidden="1"/>
    </xf>
    <xf numFmtId="164" fontId="10" fillId="0" borderId="30" xfId="1" applyNumberFormat="1" applyFont="1" applyBorder="1" applyAlignment="1" applyProtection="1">
      <alignment horizontal="right" wrapText="1"/>
      <protection hidden="1"/>
    </xf>
    <xf numFmtId="164" fontId="14" fillId="0" borderId="5" xfId="1" applyNumberFormat="1" applyFont="1" applyFill="1" applyBorder="1" applyAlignment="1" applyProtection="1">
      <alignment horizontal="right" wrapText="1" shrinkToFit="1"/>
      <protection hidden="1"/>
    </xf>
    <xf numFmtId="164" fontId="26" fillId="0" borderId="5" xfId="1" applyNumberFormat="1" applyFont="1" applyFill="1" applyBorder="1" applyAlignment="1" applyProtection="1">
      <alignment horizontal="right" wrapText="1" shrinkToFit="1"/>
      <protection hidden="1"/>
    </xf>
    <xf numFmtId="164" fontId="26" fillId="0" borderId="7" xfId="1" applyNumberFormat="1" applyFont="1" applyFill="1" applyBorder="1" applyAlignment="1" applyProtection="1">
      <alignment horizontal="right" wrapText="1"/>
      <protection hidden="1"/>
    </xf>
    <xf numFmtId="164" fontId="27" fillId="0" borderId="31" xfId="1" applyNumberFormat="1" applyFont="1" applyBorder="1" applyAlignment="1" applyProtection="1">
      <alignment horizontal="right"/>
      <protection hidden="1"/>
    </xf>
    <xf numFmtId="166" fontId="8" fillId="0" borderId="22" xfId="1" applyNumberFormat="1" applyFont="1" applyFill="1" applyBorder="1" applyAlignment="1" applyProtection="1">
      <alignment wrapText="1" shrinkToFit="1"/>
      <protection hidden="1"/>
    </xf>
    <xf numFmtId="166" fontId="14" fillId="0" borderId="22" xfId="1" applyNumberFormat="1" applyFont="1" applyFill="1" applyBorder="1" applyAlignment="1" applyProtection="1">
      <alignment horizontal="right" wrapText="1" shrinkToFit="1"/>
      <protection hidden="1"/>
    </xf>
    <xf numFmtId="166" fontId="8" fillId="0" borderId="22" xfId="1" applyNumberFormat="1" applyFont="1" applyFill="1" applyBorder="1" applyAlignment="1">
      <alignment wrapText="1"/>
    </xf>
    <xf numFmtId="166" fontId="8" fillId="0" borderId="22" xfId="1" applyNumberFormat="1" applyFont="1" applyFill="1" applyBorder="1" applyAlignment="1" applyProtection="1">
      <alignment wrapText="1"/>
      <protection hidden="1"/>
    </xf>
    <xf numFmtId="166" fontId="8" fillId="0" borderId="26" xfId="1" applyNumberFormat="1" applyFont="1" applyFill="1" applyBorder="1" applyAlignment="1" applyProtection="1">
      <alignment wrapText="1" shrinkToFit="1"/>
      <protection hidden="1"/>
    </xf>
    <xf numFmtId="166" fontId="13" fillId="0" borderId="19" xfId="1" applyNumberFormat="1" applyFont="1" applyFill="1" applyBorder="1" applyAlignment="1" applyProtection="1">
      <alignment wrapText="1" shrinkToFit="1"/>
      <protection hidden="1"/>
    </xf>
    <xf numFmtId="0" fontId="0" fillId="0" borderId="22" xfId="0" applyBorder="1" applyAlignment="1" applyProtection="1">
      <alignment wrapText="1"/>
      <protection hidden="1"/>
    </xf>
    <xf numFmtId="0" fontId="6" fillId="8" borderId="26" xfId="0" applyFont="1" applyFill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/>
      <protection hidden="1"/>
    </xf>
    <xf numFmtId="164" fontId="6" fillId="0" borderId="23" xfId="1" applyNumberFormat="1" applyFont="1" applyBorder="1" applyProtection="1">
      <protection hidden="1"/>
    </xf>
    <xf numFmtId="164" fontId="10" fillId="0" borderId="23" xfId="1" applyNumberFormat="1" applyFont="1" applyBorder="1" applyAlignment="1" applyProtection="1">
      <alignment horizontal="center"/>
      <protection hidden="1"/>
    </xf>
    <xf numFmtId="164" fontId="10" fillId="0" borderId="36" xfId="1" applyNumberFormat="1" applyFont="1" applyBorder="1" applyAlignment="1" applyProtection="1">
      <alignment horizontal="center"/>
      <protection hidden="1"/>
    </xf>
    <xf numFmtId="164" fontId="10" fillId="0" borderId="5" xfId="1" applyNumberFormat="1" applyFont="1" applyBorder="1" applyAlignment="1" applyProtection="1">
      <alignment horizontal="center"/>
      <protection hidden="1"/>
    </xf>
    <xf numFmtId="164" fontId="10" fillId="0" borderId="37" xfId="1" applyNumberFormat="1" applyFont="1" applyBorder="1" applyAlignment="1" applyProtection="1">
      <alignment horizontal="center"/>
      <protection hidden="1"/>
    </xf>
    <xf numFmtId="0" fontId="10" fillId="0" borderId="22" xfId="0" applyFont="1" applyBorder="1" applyProtection="1">
      <protection hidden="1"/>
    </xf>
    <xf numFmtId="0" fontId="9" fillId="0" borderId="22" xfId="0" applyFont="1" applyBorder="1" applyProtection="1">
      <protection hidden="1"/>
    </xf>
    <xf numFmtId="0" fontId="10" fillId="0" borderId="39" xfId="0" applyFont="1" applyBorder="1" applyProtection="1">
      <protection hidden="1"/>
    </xf>
    <xf numFmtId="164" fontId="10" fillId="0" borderId="3" xfId="1" applyNumberFormat="1" applyFont="1" applyBorder="1" applyAlignment="1" applyProtection="1">
      <alignment horizontal="center"/>
      <protection hidden="1"/>
    </xf>
    <xf numFmtId="164" fontId="10" fillId="0" borderId="40" xfId="1" applyNumberFormat="1" applyFont="1" applyBorder="1" applyAlignment="1" applyProtection="1">
      <alignment horizontal="center"/>
      <protection hidden="1"/>
    </xf>
    <xf numFmtId="164" fontId="10" fillId="0" borderId="22" xfId="1" applyNumberFormat="1" applyFont="1" applyBorder="1" applyAlignment="1" applyProtection="1">
      <alignment horizontal="center"/>
      <protection hidden="1"/>
    </xf>
    <xf numFmtId="164" fontId="10" fillId="0" borderId="39" xfId="1" applyNumberFormat="1" applyFont="1" applyBorder="1" applyAlignment="1" applyProtection="1">
      <alignment horizontal="center"/>
      <protection hidden="1"/>
    </xf>
    <xf numFmtId="164" fontId="6" fillId="0" borderId="41" xfId="1" applyNumberFormat="1" applyFont="1" applyBorder="1" applyProtection="1">
      <protection hidden="1"/>
    </xf>
    <xf numFmtId="164" fontId="6" fillId="0" borderId="22" xfId="1" applyNumberFormat="1" applyFont="1" applyBorder="1" applyProtection="1">
      <protection hidden="1"/>
    </xf>
    <xf numFmtId="0" fontId="0" fillId="5" borderId="23" xfId="0" applyFill="1" applyBorder="1" applyProtection="1">
      <protection hidden="1"/>
    </xf>
    <xf numFmtId="169" fontId="10" fillId="0" borderId="35" xfId="1" applyNumberFormat="1" applyFont="1" applyBorder="1" applyProtection="1">
      <protection hidden="1"/>
    </xf>
    <xf numFmtId="169" fontId="9" fillId="0" borderId="35" xfId="1" applyNumberFormat="1" applyFont="1" applyBorder="1" applyProtection="1">
      <protection hidden="1"/>
    </xf>
    <xf numFmtId="164" fontId="0" fillId="0" borderId="35" xfId="1" applyNumberFormat="1" applyFont="1" applyBorder="1" applyProtection="1">
      <protection hidden="1"/>
    </xf>
    <xf numFmtId="169" fontId="10" fillId="0" borderId="35" xfId="4" applyNumberFormat="1" applyFont="1" applyBorder="1" applyProtection="1">
      <protection hidden="1"/>
    </xf>
    <xf numFmtId="169" fontId="2" fillId="0" borderId="35" xfId="4" applyNumberFormat="1" applyBorder="1" applyProtection="1">
      <protection hidden="1"/>
    </xf>
    <xf numFmtId="169" fontId="10" fillId="2" borderId="35" xfId="4" applyNumberFormat="1" applyFont="1" applyFill="1" applyBorder="1" applyProtection="1">
      <protection hidden="1"/>
    </xf>
    <xf numFmtId="169" fontId="10" fillId="0" borderId="5" xfId="1" applyNumberFormat="1" applyFont="1" applyBorder="1" applyProtection="1">
      <protection hidden="1"/>
    </xf>
    <xf numFmtId="169" fontId="9" fillId="0" borderId="5" xfId="1" applyNumberFormat="1" applyFont="1" applyBorder="1" applyProtection="1">
      <protection hidden="1"/>
    </xf>
    <xf numFmtId="164" fontId="10" fillId="0" borderId="5" xfId="1" applyNumberFormat="1" applyFont="1" applyBorder="1" applyProtection="1">
      <protection hidden="1"/>
    </xf>
    <xf numFmtId="169" fontId="10" fillId="0" borderId="5" xfId="4" applyNumberFormat="1" applyFont="1" applyBorder="1" applyProtection="1">
      <protection hidden="1"/>
    </xf>
    <xf numFmtId="169" fontId="2" fillId="0" borderId="5" xfId="4" applyNumberFormat="1" applyBorder="1" applyProtection="1">
      <protection hidden="1"/>
    </xf>
    <xf numFmtId="169" fontId="10" fillId="2" borderId="5" xfId="4" applyNumberFormat="1" applyFont="1" applyFill="1" applyBorder="1" applyProtection="1">
      <protection hidden="1"/>
    </xf>
    <xf numFmtId="0" fontId="2" fillId="5" borderId="22" xfId="3" applyFill="1" applyBorder="1" applyProtection="1">
      <protection hidden="1"/>
    </xf>
    <xf numFmtId="0" fontId="11" fillId="0" borderId="22" xfId="3" applyFont="1" applyBorder="1" applyProtection="1">
      <protection hidden="1"/>
    </xf>
    <xf numFmtId="0" fontId="9" fillId="0" borderId="22" xfId="3" applyFont="1" applyBorder="1" applyProtection="1">
      <protection hidden="1"/>
    </xf>
    <xf numFmtId="0" fontId="2" fillId="0" borderId="22" xfId="3" applyBorder="1" applyProtection="1">
      <protection hidden="1"/>
    </xf>
    <xf numFmtId="0" fontId="12" fillId="0" borderId="22" xfId="3" applyFont="1" applyBorder="1" applyProtection="1">
      <protection hidden="1"/>
    </xf>
    <xf numFmtId="0" fontId="1" fillId="0" borderId="22" xfId="3" applyFont="1" applyBorder="1" applyProtection="1">
      <protection hidden="1"/>
    </xf>
    <xf numFmtId="0" fontId="11" fillId="2" borderId="22" xfId="3" applyFont="1" applyFill="1" applyBorder="1" applyProtection="1">
      <protection hidden="1"/>
    </xf>
    <xf numFmtId="0" fontId="2" fillId="0" borderId="26" xfId="3" applyBorder="1" applyProtection="1">
      <protection hidden="1"/>
    </xf>
    <xf numFmtId="169" fontId="2" fillId="0" borderId="7" xfId="4" applyNumberFormat="1" applyBorder="1" applyProtection="1">
      <protection hidden="1"/>
    </xf>
    <xf numFmtId="169" fontId="2" fillId="0" borderId="2" xfId="4" applyNumberFormat="1" applyBorder="1" applyProtection="1">
      <protection hidden="1"/>
    </xf>
    <xf numFmtId="169" fontId="2" fillId="0" borderId="44" xfId="4" applyNumberFormat="1" applyBorder="1" applyProtection="1">
      <protection hidden="1"/>
    </xf>
    <xf numFmtId="0" fontId="10" fillId="0" borderId="19" xfId="3" applyFont="1" applyBorder="1" applyAlignment="1" applyProtection="1">
      <alignment wrapText="1"/>
      <protection hidden="1"/>
    </xf>
    <xf numFmtId="169" fontId="10" fillId="0" borderId="31" xfId="3" applyNumberFormat="1" applyFont="1" applyBorder="1" applyProtection="1">
      <protection hidden="1"/>
    </xf>
    <xf numFmtId="169" fontId="10" fillId="0" borderId="28" xfId="3" applyNumberFormat="1" applyFont="1" applyBorder="1" applyProtection="1">
      <protection hidden="1"/>
    </xf>
    <xf numFmtId="169" fontId="10" fillId="0" borderId="29" xfId="3" applyNumberFormat="1" applyFont="1" applyBorder="1" applyProtection="1">
      <protection hidden="1"/>
    </xf>
    <xf numFmtId="167" fontId="0" fillId="6" borderId="1" xfId="1" applyNumberFormat="1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42" fontId="6" fillId="2" borderId="1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 applyProtection="1">
      <protection hidden="1"/>
    </xf>
    <xf numFmtId="2" fontId="0" fillId="7" borderId="0" xfId="0" applyNumberFormat="1" applyFill="1" applyProtection="1">
      <protection hidden="1"/>
    </xf>
    <xf numFmtId="2" fontId="0" fillId="9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164" fontId="24" fillId="7" borderId="1" xfId="1" applyNumberFormat="1" applyFont="1" applyFill="1" applyBorder="1" applyProtection="1">
      <protection locked="0"/>
    </xf>
    <xf numFmtId="166" fontId="16" fillId="6" borderId="1" xfId="1" applyNumberFormat="1" applyFont="1" applyFill="1" applyBorder="1" applyAlignment="1">
      <alignment horizontal="left" wrapText="1" shrinkToFi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left" wrapText="1" shrinkToFit="1"/>
    </xf>
    <xf numFmtId="166" fontId="16" fillId="0" borderId="1" xfId="1" applyNumberFormat="1" applyFont="1" applyFill="1" applyBorder="1" applyAlignment="1">
      <alignment horizontal="left" wrapText="1"/>
    </xf>
    <xf numFmtId="166" fontId="16" fillId="6" borderId="1" xfId="1" applyNumberFormat="1" applyFont="1" applyFill="1" applyBorder="1" applyAlignment="1">
      <alignment horizontal="left" wrapText="1"/>
    </xf>
    <xf numFmtId="166" fontId="21" fillId="6" borderId="1" xfId="1" applyNumberFormat="1" applyFont="1" applyFill="1" applyBorder="1" applyAlignment="1">
      <alignment horizontal="left" wrapText="1" shrinkToFit="1"/>
    </xf>
    <xf numFmtId="0" fontId="16" fillId="0" borderId="0" xfId="3" applyFont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166" fontId="16" fillId="0" borderId="3" xfId="1" applyNumberFormat="1" applyFont="1" applyFill="1" applyBorder="1" applyAlignment="1">
      <alignment horizontal="left" wrapText="1" shrinkToFit="1"/>
    </xf>
    <xf numFmtId="166" fontId="16" fillId="0" borderId="5" xfId="1" applyNumberFormat="1" applyFont="1" applyFill="1" applyBorder="1" applyAlignment="1">
      <alignment horizontal="left" wrapText="1" shrinkToFit="1"/>
    </xf>
    <xf numFmtId="166" fontId="16" fillId="0" borderId="3" xfId="1" applyNumberFormat="1" applyFont="1" applyFill="1" applyBorder="1" applyAlignment="1">
      <alignment horizontal="left" wrapText="1"/>
    </xf>
    <xf numFmtId="166" fontId="16" fillId="0" borderId="5" xfId="1" applyNumberFormat="1" applyFont="1" applyFill="1" applyBorder="1" applyAlignment="1">
      <alignment horizontal="left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6" borderId="3" xfId="0" applyFont="1" applyFill="1" applyBorder="1" applyAlignment="1" applyProtection="1">
      <alignment horizontal="left" wrapText="1"/>
      <protection locked="0"/>
    </xf>
    <xf numFmtId="0" fontId="16" fillId="6" borderId="5" xfId="0" applyFont="1" applyFill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/>
      <protection hidden="1"/>
    </xf>
    <xf numFmtId="0" fontId="10" fillId="0" borderId="42" xfId="0" applyFont="1" applyBorder="1" applyAlignment="1" applyProtection="1">
      <alignment horizontal="center" wrapText="1"/>
      <protection hidden="1"/>
    </xf>
    <xf numFmtId="0" fontId="10" fillId="0" borderId="43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9" xfId="3" applyFont="1" applyBorder="1" applyAlignment="1" applyProtection="1">
      <alignment horizontal="center"/>
      <protection hidden="1"/>
    </xf>
    <xf numFmtId="0" fontId="6" fillId="0" borderId="32" xfId="0" applyFont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6" fillId="0" borderId="33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 wrapText="1"/>
      <protection hidden="1"/>
    </xf>
    <xf numFmtId="0" fontId="10" fillId="0" borderId="3" xfId="0" applyFont="1" applyBorder="1" applyAlignment="1" applyProtection="1">
      <alignment horizontal="center" wrapText="1"/>
      <protection hidden="1"/>
    </xf>
    <xf numFmtId="0" fontId="10" fillId="0" borderId="21" xfId="0" applyFont="1" applyBorder="1" applyAlignment="1" applyProtection="1">
      <alignment horizontal="center" wrapText="1"/>
      <protection hidden="1"/>
    </xf>
    <xf numFmtId="0" fontId="10" fillId="0" borderId="23" xfId="0" applyFont="1" applyBorder="1" applyAlignment="1" applyProtection="1">
      <alignment horizontal="center" wrapText="1"/>
      <protection hidden="1"/>
    </xf>
  </cellXfs>
  <cellStyles count="6">
    <cellStyle name="Обычный" xfId="0" builtinId="0"/>
    <cellStyle name="Обычный 2" xfId="3" xr:uid="{00000000-0005-0000-0000-000001000000}"/>
    <cellStyle name="Процентный" xfId="2" builtinId="5"/>
    <cellStyle name="Процентный 2" xfId="5" xr:uid="{00000000-0005-0000-0000-000003000000}"/>
    <cellStyle name="Финансовый" xfId="1" builtinId="3"/>
    <cellStyle name="Финансовый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'Итоговые расчеты модели'!$A$284</c:f>
              <c:strCache>
                <c:ptCount val="1"/>
                <c:pt idx="0">
                  <c:v>Cash-Flow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'Итоговые расчеты модели'!$B$283:$N$283</c:f>
              <c:strCache>
                <c:ptCount val="13"/>
                <c:pt idx="0">
                  <c:v>предъинвест. стадия</c:v>
                </c:pt>
                <c:pt idx="1">
                  <c:v>1 кв. 1 года</c:v>
                </c:pt>
                <c:pt idx="2">
                  <c:v>2 кв. 1 года</c:v>
                </c:pt>
                <c:pt idx="3">
                  <c:v>3 кв. 1 года</c:v>
                </c:pt>
                <c:pt idx="4">
                  <c:v>4 кв. 1 года</c:v>
                </c:pt>
                <c:pt idx="5">
                  <c:v>1 кв. 2 года</c:v>
                </c:pt>
                <c:pt idx="6">
                  <c:v>2 кв. 2 года</c:v>
                </c:pt>
                <c:pt idx="7">
                  <c:v>3 кв. 2 года</c:v>
                </c:pt>
                <c:pt idx="8">
                  <c:v>4 кв. 2 года</c:v>
                </c:pt>
                <c:pt idx="9">
                  <c:v>1 кв. 3 года</c:v>
                </c:pt>
                <c:pt idx="10">
                  <c:v>2 кв. 3 года</c:v>
                </c:pt>
                <c:pt idx="11">
                  <c:v>3 кв. 3 года</c:v>
                </c:pt>
                <c:pt idx="12">
                  <c:v>4 кв. 3 года</c:v>
                </c:pt>
              </c:strCache>
            </c:strRef>
          </c:cat>
          <c:val>
            <c:numRef>
              <c:f>'Итоговые расчеты модели'!$B$284:$N$284</c:f>
              <c:numCache>
                <c:formatCode>_-* #\ ##0_-;\-* #\ ##0_-;_-* "-"??_-;_-@_-</c:formatCode>
                <c:ptCount val="13"/>
                <c:pt idx="0">
                  <c:v>0</c:v>
                </c:pt>
                <c:pt idx="1">
                  <c:v>-2612.48</c:v>
                </c:pt>
                <c:pt idx="2">
                  <c:v>-3664.24</c:v>
                </c:pt>
                <c:pt idx="3">
                  <c:v>-3302.7279999999996</c:v>
                </c:pt>
                <c:pt idx="4">
                  <c:v>-3107.1359999999995</c:v>
                </c:pt>
                <c:pt idx="5">
                  <c:v>-602.20607999999947</c:v>
                </c:pt>
                <c:pt idx="6">
                  <c:v>1034.0838400000007</c:v>
                </c:pt>
                <c:pt idx="7">
                  <c:v>2670.3737600000009</c:v>
                </c:pt>
                <c:pt idx="8">
                  <c:v>4740.9836800000012</c:v>
                </c:pt>
                <c:pt idx="9">
                  <c:v>7176.0292864000012</c:v>
                </c:pt>
                <c:pt idx="10">
                  <c:v>10974.937292800001</c:v>
                </c:pt>
                <c:pt idx="11">
                  <c:v>15455.776499200001</c:v>
                </c:pt>
                <c:pt idx="12">
                  <c:v>19936.615705600001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82-45DB-8AC0-88F47AA6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4256"/>
        <c:axId val="38705792"/>
      </c:lineChart>
      <c:catAx>
        <c:axId val="387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705792"/>
        <c:crosses val="autoZero"/>
        <c:auto val="1"/>
        <c:lblAlgn val="ctr"/>
        <c:lblOffset val="100"/>
        <c:noMultiLvlLbl val="0"/>
      </c:catAx>
      <c:valAx>
        <c:axId val="387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704256"/>
        <c:crossesAt val="0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145116</xdr:colOff>
      <xdr:row>94</xdr:row>
      <xdr:rowOff>80963</xdr:rowOff>
    </xdr:from>
    <xdr:to>
      <xdr:col>10</xdr:col>
      <xdr:colOff>691963</xdr:colOff>
      <xdr:row>108</xdr:row>
      <xdr:rowOff>157163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B330682-29E2-49E0-83FD-9D2BC78FF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N194"/>
  <sheetViews>
    <sheetView showGridLines="0" topLeftCell="A13" zoomScale="85" zoomScaleNormal="85" workbookViewId="0">
      <selection activeCell="F33" sqref="F33"/>
    </sheetView>
  </sheetViews>
  <sheetFormatPr defaultColWidth="9.140625" defaultRowHeight="15.75" outlineLevelRow="1" x14ac:dyDescent="0.25"/>
  <cols>
    <col min="1" max="1" width="32.140625" style="59" customWidth="1"/>
    <col min="2" max="2" width="23.5703125" style="59" customWidth="1"/>
    <col min="3" max="3" width="18" style="59" customWidth="1"/>
    <col min="4" max="5" width="17.5703125" style="59" bestFit="1" customWidth="1"/>
    <col min="6" max="6" width="13" style="59" bestFit="1" customWidth="1"/>
    <col min="7" max="7" width="10.28515625" style="59" bestFit="1" customWidth="1"/>
    <col min="8" max="8" width="10.5703125" style="59" bestFit="1" customWidth="1"/>
    <col min="9" max="9" width="11.5703125" style="59" customWidth="1"/>
    <col min="10" max="10" width="10.28515625" style="59" customWidth="1"/>
    <col min="11" max="11" width="10.5703125" style="59" bestFit="1" customWidth="1"/>
    <col min="12" max="14" width="9.5703125" style="59" bestFit="1" customWidth="1"/>
    <col min="15" max="15" width="10.85546875" style="59" bestFit="1" customWidth="1"/>
    <col min="16" max="38" width="9.42578125" style="59" bestFit="1" customWidth="1"/>
    <col min="39" max="39" width="9.140625" style="59"/>
    <col min="40" max="40" width="13.140625" style="59" bestFit="1" customWidth="1"/>
    <col min="41" max="41" width="9.140625" style="59" customWidth="1"/>
    <col min="42" max="16384" width="9.140625" style="59"/>
  </cols>
  <sheetData>
    <row r="1" spans="1:4" x14ac:dyDescent="0.25">
      <c r="A1" s="58"/>
    </row>
    <row r="3" spans="1:4" x14ac:dyDescent="0.25">
      <c r="A3" s="216" t="s">
        <v>142</v>
      </c>
      <c r="B3" s="216"/>
    </row>
    <row r="4" spans="1:4" x14ac:dyDescent="0.25">
      <c r="A4" s="60" t="s">
        <v>185</v>
      </c>
      <c r="B4" s="100"/>
    </row>
    <row r="5" spans="1:4" x14ac:dyDescent="0.25">
      <c r="A5" s="61" t="s">
        <v>126</v>
      </c>
      <c r="B5" s="101">
        <v>6.25E-2</v>
      </c>
    </row>
    <row r="6" spans="1:4" x14ac:dyDescent="0.25">
      <c r="A6" s="61" t="s">
        <v>16</v>
      </c>
      <c r="B6" s="98">
        <v>0.04</v>
      </c>
      <c r="D6" s="62"/>
    </row>
    <row r="7" spans="1:4" ht="31.5" x14ac:dyDescent="0.25">
      <c r="A7" s="61" t="s">
        <v>33</v>
      </c>
      <c r="B7" s="98">
        <v>0.04</v>
      </c>
      <c r="D7" s="62"/>
    </row>
    <row r="8" spans="1:4" x14ac:dyDescent="0.25">
      <c r="A8" s="61" t="s">
        <v>35</v>
      </c>
      <c r="B8" s="98" t="s">
        <v>36</v>
      </c>
      <c r="C8" s="91"/>
      <c r="D8" s="62"/>
    </row>
    <row r="9" spans="1:4" ht="31.5" x14ac:dyDescent="0.25">
      <c r="A9" s="61" t="s">
        <v>47</v>
      </c>
      <c r="B9" s="98" t="s">
        <v>44</v>
      </c>
      <c r="C9" s="91"/>
      <c r="D9" s="62"/>
    </row>
    <row r="10" spans="1:4" x14ac:dyDescent="0.25">
      <c r="B10" s="63"/>
    </row>
    <row r="11" spans="1:4" x14ac:dyDescent="0.25">
      <c r="A11" s="64" t="s">
        <v>40</v>
      </c>
      <c r="B11" s="65"/>
    </row>
    <row r="12" spans="1:4" x14ac:dyDescent="0.25">
      <c r="A12" s="61"/>
      <c r="B12" s="96">
        <v>0</v>
      </c>
    </row>
    <row r="13" spans="1:4" x14ac:dyDescent="0.25">
      <c r="A13" s="61"/>
      <c r="B13" s="96">
        <v>0</v>
      </c>
    </row>
    <row r="14" spans="1:4" x14ac:dyDescent="0.25">
      <c r="A14" s="61"/>
      <c r="B14" s="96">
        <v>0</v>
      </c>
    </row>
    <row r="15" spans="1:4" x14ac:dyDescent="0.25">
      <c r="A15" s="61"/>
      <c r="B15" s="96">
        <v>0</v>
      </c>
    </row>
    <row r="16" spans="1:4" x14ac:dyDescent="0.25">
      <c r="A16" s="61"/>
      <c r="B16" s="96">
        <v>0</v>
      </c>
    </row>
    <row r="17" spans="1:40" x14ac:dyDescent="0.25">
      <c r="A17" s="66"/>
      <c r="B17" s="105"/>
    </row>
    <row r="18" spans="1:40" x14ac:dyDescent="0.25">
      <c r="B18" s="67"/>
    </row>
    <row r="19" spans="1:40" x14ac:dyDescent="0.25">
      <c r="A19" s="64" t="s">
        <v>50</v>
      </c>
      <c r="B19" s="63"/>
    </row>
    <row r="20" spans="1:40" x14ac:dyDescent="0.25">
      <c r="A20" s="61" t="s">
        <v>51</v>
      </c>
      <c r="B20" s="93">
        <v>0</v>
      </c>
    </row>
    <row r="21" spans="1:40" x14ac:dyDescent="0.25">
      <c r="A21" s="61" t="s">
        <v>52</v>
      </c>
      <c r="B21" s="93">
        <v>0</v>
      </c>
    </row>
    <row r="22" spans="1:40" ht="31.5" x14ac:dyDescent="0.25">
      <c r="A22" s="61" t="s">
        <v>63</v>
      </c>
      <c r="B22" s="93">
        <v>0</v>
      </c>
    </row>
    <row r="23" spans="1:40" x14ac:dyDescent="0.25">
      <c r="A23" s="61" t="s">
        <v>53</v>
      </c>
      <c r="B23" s="99"/>
    </row>
    <row r="24" spans="1:40" x14ac:dyDescent="0.25">
      <c r="B24" s="63"/>
      <c r="E24" s="68"/>
    </row>
    <row r="25" spans="1:40" x14ac:dyDescent="0.25">
      <c r="A25" s="64" t="s">
        <v>54</v>
      </c>
      <c r="B25" s="63"/>
      <c r="E25" s="68"/>
    </row>
    <row r="26" spans="1:40" ht="31.5" x14ac:dyDescent="0.25">
      <c r="A26" s="61" t="s">
        <v>55</v>
      </c>
      <c r="B26" s="93">
        <v>5000000</v>
      </c>
      <c r="E26" s="68"/>
    </row>
    <row r="27" spans="1:40" x14ac:dyDescent="0.25">
      <c r="B27" s="63"/>
      <c r="E27" s="68"/>
    </row>
    <row r="28" spans="1:40" x14ac:dyDescent="0.25">
      <c r="A28" s="64" t="s">
        <v>49</v>
      </c>
    </row>
    <row r="29" spans="1:40" x14ac:dyDescent="0.25">
      <c r="A29" s="218" t="s">
        <v>105</v>
      </c>
      <c r="B29" s="219" t="s">
        <v>209</v>
      </c>
      <c r="C29" s="213" t="s">
        <v>29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5"/>
      <c r="O29" s="213" t="s">
        <v>30</v>
      </c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5"/>
      <c r="AA29" s="213" t="s">
        <v>31</v>
      </c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5"/>
      <c r="AN29" s="68"/>
    </row>
    <row r="30" spans="1:40" x14ac:dyDescent="0.25">
      <c r="A30" s="218"/>
      <c r="B30" s="220"/>
      <c r="C30" s="66" t="s">
        <v>17</v>
      </c>
      <c r="D30" s="66" t="s">
        <v>18</v>
      </c>
      <c r="E30" s="66" t="s">
        <v>19</v>
      </c>
      <c r="F30" s="66" t="s">
        <v>20</v>
      </c>
      <c r="G30" s="66" t="s">
        <v>21</v>
      </c>
      <c r="H30" s="66" t="s">
        <v>22</v>
      </c>
      <c r="I30" s="66" t="s">
        <v>23</v>
      </c>
      <c r="J30" s="66" t="s">
        <v>24</v>
      </c>
      <c r="K30" s="66" t="s">
        <v>25</v>
      </c>
      <c r="L30" s="66" t="s">
        <v>26</v>
      </c>
      <c r="M30" s="66" t="s">
        <v>27</v>
      </c>
      <c r="N30" s="66" t="s">
        <v>28</v>
      </c>
      <c r="O30" s="69" t="s">
        <v>17</v>
      </c>
      <c r="P30" s="69" t="s">
        <v>18</v>
      </c>
      <c r="Q30" s="69" t="s">
        <v>19</v>
      </c>
      <c r="R30" s="69" t="s">
        <v>20</v>
      </c>
      <c r="S30" s="69" t="s">
        <v>21</v>
      </c>
      <c r="T30" s="69" t="s">
        <v>22</v>
      </c>
      <c r="U30" s="69" t="s">
        <v>23</v>
      </c>
      <c r="V30" s="69" t="s">
        <v>24</v>
      </c>
      <c r="W30" s="69" t="s">
        <v>25</v>
      </c>
      <c r="X30" s="69" t="s">
        <v>26</v>
      </c>
      <c r="Y30" s="69" t="s">
        <v>27</v>
      </c>
      <c r="Z30" s="69" t="s">
        <v>28</v>
      </c>
      <c r="AA30" s="69" t="s">
        <v>17</v>
      </c>
      <c r="AB30" s="69" t="s">
        <v>18</v>
      </c>
      <c r="AC30" s="69" t="s">
        <v>19</v>
      </c>
      <c r="AD30" s="69" t="s">
        <v>20</v>
      </c>
      <c r="AE30" s="69" t="s">
        <v>21</v>
      </c>
      <c r="AF30" s="69" t="s">
        <v>22</v>
      </c>
      <c r="AG30" s="69" t="s">
        <v>23</v>
      </c>
      <c r="AH30" s="69" t="s">
        <v>24</v>
      </c>
      <c r="AI30" s="69" t="s">
        <v>25</v>
      </c>
      <c r="AJ30" s="69" t="s">
        <v>26</v>
      </c>
      <c r="AK30" s="69" t="s">
        <v>27</v>
      </c>
      <c r="AL30" s="69" t="s">
        <v>28</v>
      </c>
    </row>
    <row r="31" spans="1:40" x14ac:dyDescent="0.25">
      <c r="A31" s="104" t="s">
        <v>205</v>
      </c>
      <c r="B31" s="96" t="s">
        <v>210</v>
      </c>
      <c r="C31" s="97"/>
      <c r="D31" s="97"/>
      <c r="E31" s="97"/>
      <c r="F31" s="97">
        <v>1000</v>
      </c>
      <c r="G31" s="97">
        <v>1000</v>
      </c>
      <c r="H31" s="97">
        <v>1000</v>
      </c>
      <c r="I31" s="97">
        <v>1000</v>
      </c>
      <c r="J31" s="97">
        <v>1000</v>
      </c>
      <c r="K31" s="97">
        <v>1000</v>
      </c>
      <c r="L31" s="97">
        <v>1000</v>
      </c>
      <c r="M31" s="97">
        <v>1000</v>
      </c>
      <c r="N31" s="97">
        <v>1000</v>
      </c>
      <c r="O31" s="97">
        <v>1000</v>
      </c>
      <c r="P31" s="97">
        <v>1000</v>
      </c>
      <c r="Q31" s="97">
        <v>1000</v>
      </c>
      <c r="R31" s="97">
        <v>1000</v>
      </c>
      <c r="S31" s="97">
        <v>1000</v>
      </c>
      <c r="T31" s="97">
        <v>1000</v>
      </c>
      <c r="U31" s="97">
        <v>1000</v>
      </c>
      <c r="V31" s="97">
        <v>1000</v>
      </c>
      <c r="W31" s="97">
        <v>1000</v>
      </c>
      <c r="X31" s="97">
        <v>1000</v>
      </c>
      <c r="Y31" s="97">
        <v>1000</v>
      </c>
      <c r="Z31" s="97">
        <v>1000</v>
      </c>
      <c r="AA31" s="97">
        <v>1000</v>
      </c>
      <c r="AB31" s="97">
        <v>1000</v>
      </c>
      <c r="AC31" s="97">
        <v>1000</v>
      </c>
      <c r="AD31" s="97">
        <v>1000</v>
      </c>
      <c r="AE31" s="97">
        <v>1000</v>
      </c>
      <c r="AF31" s="97">
        <v>1000</v>
      </c>
      <c r="AG31" s="97">
        <v>1000</v>
      </c>
      <c r="AH31" s="97">
        <v>1000</v>
      </c>
      <c r="AI31" s="97">
        <v>1000</v>
      </c>
      <c r="AJ31" s="97">
        <v>1000</v>
      </c>
      <c r="AK31" s="97">
        <v>1000</v>
      </c>
      <c r="AL31" s="97">
        <v>1000</v>
      </c>
      <c r="AN31" s="68"/>
    </row>
    <row r="32" spans="1:40" x14ac:dyDescent="0.25">
      <c r="A32" s="104" t="s">
        <v>206</v>
      </c>
      <c r="B32" s="96" t="s">
        <v>211</v>
      </c>
      <c r="C32" s="97"/>
      <c r="D32" s="97"/>
      <c r="E32" s="97"/>
      <c r="F32" s="97">
        <v>20</v>
      </c>
      <c r="G32" s="97">
        <v>35</v>
      </c>
      <c r="H32" s="97">
        <v>45</v>
      </c>
      <c r="I32" s="97">
        <v>45</v>
      </c>
      <c r="J32" s="97">
        <v>50</v>
      </c>
      <c r="K32" s="97">
        <v>50</v>
      </c>
      <c r="L32" s="97">
        <v>50</v>
      </c>
      <c r="M32" s="97">
        <v>50</v>
      </c>
      <c r="N32" s="97">
        <v>50</v>
      </c>
      <c r="O32" s="97">
        <v>100</v>
      </c>
      <c r="P32" s="97">
        <v>100</v>
      </c>
      <c r="Q32" s="97">
        <v>100</v>
      </c>
      <c r="R32" s="97">
        <v>100</v>
      </c>
      <c r="S32" s="97">
        <v>100</v>
      </c>
      <c r="T32" s="97">
        <v>100</v>
      </c>
      <c r="U32" s="97">
        <v>100</v>
      </c>
      <c r="V32" s="97">
        <v>100</v>
      </c>
      <c r="W32" s="97">
        <v>100</v>
      </c>
      <c r="X32" s="97">
        <v>100</v>
      </c>
      <c r="Y32" s="97">
        <v>100</v>
      </c>
      <c r="Z32" s="97">
        <v>100</v>
      </c>
      <c r="AA32" s="97">
        <v>150</v>
      </c>
      <c r="AB32" s="97">
        <v>150</v>
      </c>
      <c r="AC32" s="97">
        <v>150</v>
      </c>
      <c r="AD32" s="97">
        <v>150</v>
      </c>
      <c r="AE32" s="97">
        <v>150</v>
      </c>
      <c r="AF32" s="97">
        <v>150</v>
      </c>
      <c r="AG32" s="97">
        <v>150</v>
      </c>
      <c r="AH32" s="97">
        <v>150</v>
      </c>
      <c r="AI32" s="97">
        <v>150</v>
      </c>
      <c r="AJ32" s="97">
        <v>150</v>
      </c>
      <c r="AK32" s="97">
        <v>150</v>
      </c>
      <c r="AL32" s="97">
        <v>150</v>
      </c>
      <c r="AN32" s="68"/>
    </row>
    <row r="33" spans="1:40" ht="31.5" x14ac:dyDescent="0.25">
      <c r="A33" s="104" t="s">
        <v>207</v>
      </c>
      <c r="B33" s="96" t="s">
        <v>211</v>
      </c>
      <c r="C33" s="97"/>
      <c r="D33" s="97"/>
      <c r="E33" s="97"/>
      <c r="F33" s="97">
        <v>1</v>
      </c>
      <c r="G33" s="97">
        <v>1</v>
      </c>
      <c r="H33" s="97">
        <v>1</v>
      </c>
      <c r="I33" s="97">
        <v>2</v>
      </c>
      <c r="J33" s="97">
        <v>3</v>
      </c>
      <c r="K33" s="97">
        <v>3</v>
      </c>
      <c r="L33" s="97">
        <v>3</v>
      </c>
      <c r="M33" s="97">
        <v>2</v>
      </c>
      <c r="N33" s="97">
        <v>2</v>
      </c>
      <c r="O33" s="97">
        <v>3</v>
      </c>
      <c r="P33" s="97">
        <v>3</v>
      </c>
      <c r="Q33" s="97">
        <v>3</v>
      </c>
      <c r="R33" s="97">
        <v>2</v>
      </c>
      <c r="S33" s="97">
        <v>2</v>
      </c>
      <c r="T33" s="97">
        <v>3</v>
      </c>
      <c r="U33" s="97">
        <v>3</v>
      </c>
      <c r="V33" s="97">
        <v>2</v>
      </c>
      <c r="W33" s="97">
        <v>2</v>
      </c>
      <c r="X33" s="97">
        <v>3</v>
      </c>
      <c r="Y33" s="97">
        <v>3</v>
      </c>
      <c r="Z33" s="97">
        <v>2</v>
      </c>
      <c r="AA33" s="97">
        <v>2</v>
      </c>
      <c r="AB33" s="97">
        <v>2</v>
      </c>
      <c r="AC33" s="97">
        <v>2</v>
      </c>
      <c r="AD33" s="97">
        <v>3</v>
      </c>
      <c r="AE33" s="97">
        <v>3</v>
      </c>
      <c r="AF33" s="97">
        <v>2</v>
      </c>
      <c r="AG33" s="97">
        <v>3</v>
      </c>
      <c r="AH33" s="97">
        <v>3</v>
      </c>
      <c r="AI33" s="97">
        <v>3</v>
      </c>
      <c r="AJ33" s="97">
        <v>3</v>
      </c>
      <c r="AK33" s="97">
        <v>3</v>
      </c>
      <c r="AL33" s="97">
        <v>3</v>
      </c>
      <c r="AN33" s="68"/>
    </row>
    <row r="34" spans="1:40" x14ac:dyDescent="0.25">
      <c r="A34" s="104" t="s">
        <v>208</v>
      </c>
      <c r="B34" s="96" t="s">
        <v>210</v>
      </c>
      <c r="C34" s="97"/>
      <c r="D34" s="97"/>
      <c r="E34" s="97"/>
      <c r="F34" s="97">
        <f>F31*F32*F33*30.5</f>
        <v>610000</v>
      </c>
      <c r="G34" s="97">
        <f>G31*G32*G33*30.5</f>
        <v>1067500</v>
      </c>
      <c r="H34" s="97">
        <f t="shared" ref="H34:I34" si="0">H31*H32*H33*30.5</f>
        <v>1372500</v>
      </c>
      <c r="I34" s="97">
        <f t="shared" si="0"/>
        <v>2745000</v>
      </c>
      <c r="J34" s="97">
        <f t="shared" ref="J34" si="1">J31*J32*J33*30.5</f>
        <v>4575000</v>
      </c>
      <c r="K34" s="97">
        <f t="shared" ref="K34" si="2">K31*K32*K33*30.5</f>
        <v>4575000</v>
      </c>
      <c r="L34" s="97">
        <f t="shared" ref="L34" si="3">L31*L32*L33*30.5</f>
        <v>4575000</v>
      </c>
      <c r="M34" s="97">
        <f t="shared" ref="M34" si="4">M31*M32*M33*30.5</f>
        <v>3050000</v>
      </c>
      <c r="N34" s="97">
        <f t="shared" ref="N34" si="5">N31*N32*N33*30.5</f>
        <v>3050000</v>
      </c>
      <c r="O34" s="97">
        <f t="shared" ref="O34" si="6">O31*O32*O33*30.5</f>
        <v>9150000</v>
      </c>
      <c r="P34" s="97">
        <f t="shared" ref="P34" si="7">P31*P32*P33*30.5</f>
        <v>9150000</v>
      </c>
      <c r="Q34" s="97">
        <f t="shared" ref="Q34" si="8">Q31*Q32*Q33*30.5</f>
        <v>9150000</v>
      </c>
      <c r="R34" s="97">
        <f t="shared" ref="R34" si="9">R31*R32*R33*30.5</f>
        <v>6100000</v>
      </c>
      <c r="S34" s="97">
        <f t="shared" ref="S34" si="10">S31*S32*S33*30.5</f>
        <v>6100000</v>
      </c>
      <c r="T34" s="97">
        <f t="shared" ref="T34" si="11">T31*T32*T33*30.5</f>
        <v>9150000</v>
      </c>
      <c r="U34" s="97">
        <f t="shared" ref="U34" si="12">U31*U32*U33*30.5</f>
        <v>9150000</v>
      </c>
      <c r="V34" s="97">
        <f t="shared" ref="V34" si="13">V31*V32*V33*30.5</f>
        <v>6100000</v>
      </c>
      <c r="W34" s="97">
        <f t="shared" ref="W34" si="14">W31*W32*W33*30.5</f>
        <v>6100000</v>
      </c>
      <c r="X34" s="97">
        <f t="shared" ref="X34" si="15">X31*X32*X33*30.5</f>
        <v>9150000</v>
      </c>
      <c r="Y34" s="97">
        <f t="shared" ref="Y34" si="16">Y31*Y32*Y33*30.5</f>
        <v>9150000</v>
      </c>
      <c r="Z34" s="97">
        <f t="shared" ref="Z34" si="17">Z31*Z32*Z33*30.5</f>
        <v>6100000</v>
      </c>
      <c r="AA34" s="97">
        <f t="shared" ref="AA34" si="18">AA31*AA32*AA33*30.5</f>
        <v>9150000</v>
      </c>
      <c r="AB34" s="97">
        <f t="shared" ref="AB34" si="19">AB31*AB32*AB33*30.5</f>
        <v>9150000</v>
      </c>
      <c r="AC34" s="97">
        <f t="shared" ref="AC34" si="20">AC31*AC32*AC33*30.5</f>
        <v>9150000</v>
      </c>
      <c r="AD34" s="97">
        <f t="shared" ref="AD34" si="21">AD31*AD32*AD33*30.5</f>
        <v>13725000</v>
      </c>
      <c r="AE34" s="97">
        <f t="shared" ref="AE34" si="22">AE31*AE32*AE33*30.5</f>
        <v>13725000</v>
      </c>
      <c r="AF34" s="97">
        <f t="shared" ref="AF34" si="23">AF31*AF32*AF33*30.5</f>
        <v>9150000</v>
      </c>
      <c r="AG34" s="97">
        <f t="shared" ref="AG34" si="24">AG31*AG32*AG33*30.5</f>
        <v>13725000</v>
      </c>
      <c r="AH34" s="97">
        <f t="shared" ref="AH34" si="25">AH31*AH32*AH33*30.5</f>
        <v>13725000</v>
      </c>
      <c r="AI34" s="97">
        <f t="shared" ref="AI34" si="26">AI31*AI32*AI33*30.5</f>
        <v>13725000</v>
      </c>
      <c r="AJ34" s="97">
        <f t="shared" ref="AJ34" si="27">AJ31*AJ32*AJ33*30.5</f>
        <v>13725000</v>
      </c>
      <c r="AK34" s="97">
        <f t="shared" ref="AK34" si="28">AK31*AK32*AK33*30.5</f>
        <v>13725000</v>
      </c>
      <c r="AL34" s="97">
        <f t="shared" ref="AL34" si="29">AL31*AL32*AL33*30.5</f>
        <v>13725000</v>
      </c>
      <c r="AN34" s="68"/>
    </row>
    <row r="35" spans="1:40" ht="31.5" x14ac:dyDescent="0.25">
      <c r="A35" s="107" t="s">
        <v>218</v>
      </c>
      <c r="B35" s="108" t="s">
        <v>210</v>
      </c>
      <c r="C35" s="109"/>
      <c r="D35" s="109"/>
      <c r="E35" s="109"/>
      <c r="F35" s="109">
        <f>F34*0.2</f>
        <v>122000</v>
      </c>
      <c r="G35" s="109">
        <f>G34*0.2</f>
        <v>213500</v>
      </c>
      <c r="H35" s="109">
        <f t="shared" ref="H35:I35" si="30">H34*0.2</f>
        <v>274500</v>
      </c>
      <c r="I35" s="109">
        <f t="shared" si="30"/>
        <v>549000</v>
      </c>
      <c r="J35" s="109">
        <f t="shared" ref="J35" si="31">J34*0.2</f>
        <v>915000</v>
      </c>
      <c r="K35" s="109">
        <f t="shared" ref="K35" si="32">K34*0.2</f>
        <v>915000</v>
      </c>
      <c r="L35" s="109">
        <f t="shared" ref="L35" si="33">L34*0.2</f>
        <v>915000</v>
      </c>
      <c r="M35" s="109">
        <f t="shared" ref="M35" si="34">M34*0.2</f>
        <v>610000</v>
      </c>
      <c r="N35" s="109">
        <f t="shared" ref="N35" si="35">N34*0.2</f>
        <v>610000</v>
      </c>
      <c r="O35" s="109">
        <f t="shared" ref="O35" si="36">O34*0.2</f>
        <v>1830000</v>
      </c>
      <c r="P35" s="109">
        <f t="shared" ref="P35" si="37">P34*0.2</f>
        <v>1830000</v>
      </c>
      <c r="Q35" s="109">
        <f t="shared" ref="Q35" si="38">Q34*0.2</f>
        <v>1830000</v>
      </c>
      <c r="R35" s="109">
        <f t="shared" ref="R35" si="39">R34*0.2</f>
        <v>1220000</v>
      </c>
      <c r="S35" s="109">
        <f t="shared" ref="S35" si="40">S34*0.2</f>
        <v>1220000</v>
      </c>
      <c r="T35" s="109">
        <f t="shared" ref="T35" si="41">T34*0.2</f>
        <v>1830000</v>
      </c>
      <c r="U35" s="109">
        <f t="shared" ref="U35" si="42">U34*0.2</f>
        <v>1830000</v>
      </c>
      <c r="V35" s="109">
        <f t="shared" ref="V35" si="43">V34*0.2</f>
        <v>1220000</v>
      </c>
      <c r="W35" s="109">
        <f t="shared" ref="W35" si="44">W34*0.2</f>
        <v>1220000</v>
      </c>
      <c r="X35" s="109">
        <f t="shared" ref="X35" si="45">X34*0.2</f>
        <v>1830000</v>
      </c>
      <c r="Y35" s="109">
        <f t="shared" ref="Y35" si="46">Y34*0.2</f>
        <v>1830000</v>
      </c>
      <c r="Z35" s="109">
        <f t="shared" ref="Z35" si="47">Z34*0.2</f>
        <v>1220000</v>
      </c>
      <c r="AA35" s="109">
        <f t="shared" ref="AA35" si="48">AA34*0.2</f>
        <v>1830000</v>
      </c>
      <c r="AB35" s="109">
        <f t="shared" ref="AB35" si="49">AB34*0.2</f>
        <v>1830000</v>
      </c>
      <c r="AC35" s="109">
        <f t="shared" ref="AC35" si="50">AC34*0.2</f>
        <v>1830000</v>
      </c>
      <c r="AD35" s="109">
        <f t="shared" ref="AD35" si="51">AD34*0.2</f>
        <v>2745000</v>
      </c>
      <c r="AE35" s="109">
        <f t="shared" ref="AE35" si="52">AE34*0.2</f>
        <v>2745000</v>
      </c>
      <c r="AF35" s="109">
        <f t="shared" ref="AF35" si="53">AF34*0.2</f>
        <v>1830000</v>
      </c>
      <c r="AG35" s="109">
        <f t="shared" ref="AG35" si="54">AG34*0.2</f>
        <v>2745000</v>
      </c>
      <c r="AH35" s="109">
        <f t="shared" ref="AH35" si="55">AH34*0.2</f>
        <v>2745000</v>
      </c>
      <c r="AI35" s="109">
        <f t="shared" ref="AI35" si="56">AI34*0.2</f>
        <v>2745000</v>
      </c>
      <c r="AJ35" s="109">
        <f t="shared" ref="AJ35" si="57">AJ34*0.2</f>
        <v>2745000</v>
      </c>
      <c r="AK35" s="109">
        <f t="shared" ref="AK35" si="58">AK34*0.2</f>
        <v>2745000</v>
      </c>
      <c r="AL35" s="109">
        <f t="shared" ref="AL35" si="59">AL34*0.2</f>
        <v>2745000</v>
      </c>
      <c r="AN35" s="68"/>
    </row>
    <row r="37" spans="1:40" x14ac:dyDescent="0.25">
      <c r="A37" s="64" t="s">
        <v>32</v>
      </c>
    </row>
    <row r="38" spans="1:40" x14ac:dyDescent="0.25">
      <c r="C38" s="59" t="s">
        <v>34</v>
      </c>
    </row>
    <row r="39" spans="1:40" x14ac:dyDescent="0.25">
      <c r="A39" s="219" t="s">
        <v>139</v>
      </c>
      <c r="B39" s="219" t="s">
        <v>138</v>
      </c>
      <c r="C39" s="213" t="s">
        <v>29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5"/>
      <c r="O39" s="213" t="s">
        <v>30</v>
      </c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  <c r="AA39" s="213" t="s">
        <v>31</v>
      </c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5"/>
    </row>
    <row r="40" spans="1:40" x14ac:dyDescent="0.25">
      <c r="A40" s="220"/>
      <c r="B40" s="220"/>
      <c r="C40" s="70" t="s">
        <v>17</v>
      </c>
      <c r="D40" s="69" t="s">
        <v>18</v>
      </c>
      <c r="E40" s="69" t="s">
        <v>19</v>
      </c>
      <c r="F40" s="69" t="s">
        <v>20</v>
      </c>
      <c r="G40" s="69" t="s">
        <v>21</v>
      </c>
      <c r="H40" s="69" t="s">
        <v>22</v>
      </c>
      <c r="I40" s="69" t="s">
        <v>23</v>
      </c>
      <c r="J40" s="69" t="s">
        <v>24</v>
      </c>
      <c r="K40" s="69" t="s">
        <v>25</v>
      </c>
      <c r="L40" s="69" t="s">
        <v>26</v>
      </c>
      <c r="M40" s="69" t="s">
        <v>27</v>
      </c>
      <c r="N40" s="69" t="s">
        <v>28</v>
      </c>
      <c r="O40" s="69" t="s">
        <v>17</v>
      </c>
      <c r="P40" s="69" t="s">
        <v>18</v>
      </c>
      <c r="Q40" s="69" t="s">
        <v>19</v>
      </c>
      <c r="R40" s="69" t="s">
        <v>20</v>
      </c>
      <c r="S40" s="69" t="s">
        <v>21</v>
      </c>
      <c r="T40" s="69" t="s">
        <v>22</v>
      </c>
      <c r="U40" s="69" t="s">
        <v>23</v>
      </c>
      <c r="V40" s="69" t="s">
        <v>24</v>
      </c>
      <c r="W40" s="69" t="s">
        <v>25</v>
      </c>
      <c r="X40" s="69" t="s">
        <v>26</v>
      </c>
      <c r="Y40" s="69" t="s">
        <v>27</v>
      </c>
      <c r="Z40" s="69" t="s">
        <v>28</v>
      </c>
      <c r="AA40" s="69" t="s">
        <v>17</v>
      </c>
      <c r="AB40" s="69" t="s">
        <v>18</v>
      </c>
      <c r="AC40" s="69" t="s">
        <v>19</v>
      </c>
      <c r="AD40" s="69" t="s">
        <v>20</v>
      </c>
      <c r="AE40" s="69" t="s">
        <v>21</v>
      </c>
      <c r="AF40" s="69" t="s">
        <v>22</v>
      </c>
      <c r="AG40" s="69" t="s">
        <v>23</v>
      </c>
      <c r="AH40" s="69" t="s">
        <v>24</v>
      </c>
      <c r="AI40" s="69" t="s">
        <v>25</v>
      </c>
      <c r="AJ40" s="69" t="s">
        <v>26</v>
      </c>
      <c r="AK40" s="69" t="s">
        <v>27</v>
      </c>
      <c r="AL40" s="69" t="s">
        <v>28</v>
      </c>
    </row>
    <row r="41" spans="1:40" x14ac:dyDescent="0.25">
      <c r="A41" s="104" t="s">
        <v>190</v>
      </c>
      <c r="B41" s="93">
        <v>80000</v>
      </c>
      <c r="C41" s="95">
        <v>1</v>
      </c>
      <c r="D41" s="95">
        <v>1</v>
      </c>
      <c r="E41" s="95">
        <v>1</v>
      </c>
      <c r="F41" s="95">
        <v>1</v>
      </c>
      <c r="G41" s="95">
        <v>1</v>
      </c>
      <c r="H41" s="95">
        <v>1</v>
      </c>
      <c r="I41" s="95">
        <v>1</v>
      </c>
      <c r="J41" s="95">
        <v>1</v>
      </c>
      <c r="K41" s="95">
        <v>1</v>
      </c>
      <c r="L41" s="95">
        <v>1</v>
      </c>
      <c r="M41" s="95">
        <v>1</v>
      </c>
      <c r="N41" s="95">
        <v>1</v>
      </c>
      <c r="O41" s="95">
        <v>1</v>
      </c>
      <c r="P41" s="95">
        <v>1</v>
      </c>
      <c r="Q41" s="95">
        <v>1</v>
      </c>
      <c r="R41" s="95">
        <v>1</v>
      </c>
      <c r="S41" s="95">
        <v>1</v>
      </c>
      <c r="T41" s="95">
        <v>1</v>
      </c>
      <c r="U41" s="95">
        <v>1</v>
      </c>
      <c r="V41" s="95">
        <v>1</v>
      </c>
      <c r="W41" s="95">
        <v>1</v>
      </c>
      <c r="X41" s="95">
        <v>1</v>
      </c>
      <c r="Y41" s="95">
        <v>1</v>
      </c>
      <c r="Z41" s="95">
        <v>1</v>
      </c>
      <c r="AA41" s="95">
        <v>1</v>
      </c>
      <c r="AB41" s="95">
        <v>1</v>
      </c>
      <c r="AC41" s="95">
        <v>1</v>
      </c>
      <c r="AD41" s="95">
        <v>1</v>
      </c>
      <c r="AE41" s="95">
        <v>1</v>
      </c>
      <c r="AF41" s="95">
        <v>1</v>
      </c>
      <c r="AG41" s="95">
        <v>1</v>
      </c>
      <c r="AH41" s="95">
        <v>1</v>
      </c>
      <c r="AI41" s="95">
        <v>1</v>
      </c>
      <c r="AJ41" s="95">
        <v>1</v>
      </c>
      <c r="AK41" s="95">
        <v>1</v>
      </c>
      <c r="AL41" s="95">
        <v>1</v>
      </c>
    </row>
    <row r="42" spans="1:40" x14ac:dyDescent="0.25">
      <c r="A42" s="104" t="s">
        <v>191</v>
      </c>
      <c r="B42" s="93">
        <v>50000</v>
      </c>
      <c r="C42" s="95"/>
      <c r="D42" s="95"/>
      <c r="E42" s="95"/>
      <c r="F42" s="95">
        <v>1</v>
      </c>
      <c r="G42" s="95">
        <v>1</v>
      </c>
      <c r="H42" s="95">
        <v>1</v>
      </c>
      <c r="I42" s="95">
        <v>1</v>
      </c>
      <c r="J42" s="95">
        <v>1</v>
      </c>
      <c r="K42" s="95">
        <v>1</v>
      </c>
      <c r="L42" s="95">
        <v>1</v>
      </c>
      <c r="M42" s="95">
        <v>1</v>
      </c>
      <c r="N42" s="95">
        <v>1</v>
      </c>
      <c r="O42" s="95">
        <v>1</v>
      </c>
      <c r="P42" s="95">
        <v>1</v>
      </c>
      <c r="Q42" s="95">
        <v>1</v>
      </c>
      <c r="R42" s="95">
        <v>1</v>
      </c>
      <c r="S42" s="95">
        <v>1</v>
      </c>
      <c r="T42" s="95">
        <v>1</v>
      </c>
      <c r="U42" s="95">
        <v>1</v>
      </c>
      <c r="V42" s="95">
        <v>1</v>
      </c>
      <c r="W42" s="95">
        <v>1</v>
      </c>
      <c r="X42" s="95">
        <v>1</v>
      </c>
      <c r="Y42" s="95">
        <v>1</v>
      </c>
      <c r="Z42" s="95">
        <v>1</v>
      </c>
      <c r="AA42" s="95">
        <v>1</v>
      </c>
      <c r="AB42" s="95">
        <v>1</v>
      </c>
      <c r="AC42" s="95">
        <v>1</v>
      </c>
      <c r="AD42" s="95">
        <v>1</v>
      </c>
      <c r="AE42" s="95">
        <v>1</v>
      </c>
      <c r="AF42" s="95">
        <v>1</v>
      </c>
      <c r="AG42" s="95">
        <v>1</v>
      </c>
      <c r="AH42" s="95">
        <v>1</v>
      </c>
      <c r="AI42" s="95">
        <v>1</v>
      </c>
      <c r="AJ42" s="95">
        <v>1</v>
      </c>
      <c r="AK42" s="95">
        <v>1</v>
      </c>
      <c r="AL42" s="95">
        <v>1</v>
      </c>
    </row>
    <row r="43" spans="1:40" x14ac:dyDescent="0.25">
      <c r="A43" s="104" t="s">
        <v>192</v>
      </c>
      <c r="B43" s="93">
        <v>50000</v>
      </c>
      <c r="C43" s="95"/>
      <c r="D43" s="95"/>
      <c r="E43" s="95"/>
      <c r="F43" s="95">
        <v>1</v>
      </c>
      <c r="G43" s="95">
        <v>1</v>
      </c>
      <c r="H43" s="95">
        <v>1</v>
      </c>
      <c r="I43" s="95">
        <v>1</v>
      </c>
      <c r="J43" s="95">
        <v>1</v>
      </c>
      <c r="K43" s="95">
        <v>1</v>
      </c>
      <c r="L43" s="95">
        <v>1</v>
      </c>
      <c r="M43" s="95">
        <v>1</v>
      </c>
      <c r="N43" s="95">
        <v>1</v>
      </c>
      <c r="O43" s="95">
        <v>1</v>
      </c>
      <c r="P43" s="95">
        <v>1</v>
      </c>
      <c r="Q43" s="95">
        <v>1</v>
      </c>
      <c r="R43" s="95">
        <v>1</v>
      </c>
      <c r="S43" s="95">
        <v>1</v>
      </c>
      <c r="T43" s="95">
        <v>1</v>
      </c>
      <c r="U43" s="95">
        <v>1</v>
      </c>
      <c r="V43" s="95">
        <v>1</v>
      </c>
      <c r="W43" s="95">
        <v>1</v>
      </c>
      <c r="X43" s="95">
        <v>1</v>
      </c>
      <c r="Y43" s="95">
        <v>1</v>
      </c>
      <c r="Z43" s="95">
        <v>1</v>
      </c>
      <c r="AA43" s="95">
        <v>1</v>
      </c>
      <c r="AB43" s="95">
        <v>1</v>
      </c>
      <c r="AC43" s="95">
        <v>1</v>
      </c>
      <c r="AD43" s="95">
        <v>1</v>
      </c>
      <c r="AE43" s="95">
        <v>1</v>
      </c>
      <c r="AF43" s="95">
        <v>1</v>
      </c>
      <c r="AG43" s="95">
        <v>1</v>
      </c>
      <c r="AH43" s="95">
        <v>1</v>
      </c>
      <c r="AI43" s="95">
        <v>1</v>
      </c>
      <c r="AJ43" s="95">
        <v>1</v>
      </c>
      <c r="AK43" s="95">
        <v>1</v>
      </c>
      <c r="AL43" s="95">
        <v>1</v>
      </c>
    </row>
    <row r="44" spans="1:40" ht="31.5" x14ac:dyDescent="0.25">
      <c r="A44" s="104" t="s">
        <v>193</v>
      </c>
      <c r="B44" s="93">
        <v>30000</v>
      </c>
      <c r="C44" s="95"/>
      <c r="D44" s="95"/>
      <c r="E44" s="95"/>
      <c r="F44" s="95">
        <v>1</v>
      </c>
      <c r="G44" s="95">
        <v>1</v>
      </c>
      <c r="H44" s="95">
        <v>1</v>
      </c>
      <c r="I44" s="95">
        <v>1</v>
      </c>
      <c r="J44" s="95">
        <v>1</v>
      </c>
      <c r="K44" s="95">
        <v>1</v>
      </c>
      <c r="L44" s="95">
        <v>1</v>
      </c>
      <c r="M44" s="95">
        <v>1</v>
      </c>
      <c r="N44" s="95">
        <v>1</v>
      </c>
      <c r="O44" s="95">
        <v>2</v>
      </c>
      <c r="P44" s="95">
        <v>2</v>
      </c>
      <c r="Q44" s="95">
        <v>2</v>
      </c>
      <c r="R44" s="95">
        <v>2</v>
      </c>
      <c r="S44" s="95">
        <v>2</v>
      </c>
      <c r="T44" s="95">
        <v>2</v>
      </c>
      <c r="U44" s="95">
        <v>2</v>
      </c>
      <c r="V44" s="95">
        <v>2</v>
      </c>
      <c r="W44" s="95">
        <v>2</v>
      </c>
      <c r="X44" s="95">
        <v>2</v>
      </c>
      <c r="Y44" s="95">
        <v>2</v>
      </c>
      <c r="Z44" s="95">
        <v>2</v>
      </c>
      <c r="AA44" s="95">
        <v>3</v>
      </c>
      <c r="AB44" s="95">
        <v>3</v>
      </c>
      <c r="AC44" s="95">
        <v>3</v>
      </c>
      <c r="AD44" s="95">
        <v>3</v>
      </c>
      <c r="AE44" s="95">
        <v>3</v>
      </c>
      <c r="AF44" s="95">
        <v>3</v>
      </c>
      <c r="AG44" s="95">
        <v>3</v>
      </c>
      <c r="AH44" s="95">
        <v>3</v>
      </c>
      <c r="AI44" s="95">
        <v>3</v>
      </c>
      <c r="AJ44" s="95">
        <v>3</v>
      </c>
      <c r="AK44" s="95">
        <v>3</v>
      </c>
      <c r="AL44" s="95">
        <v>3</v>
      </c>
    </row>
    <row r="45" spans="1:40" x14ac:dyDescent="0.25">
      <c r="A45" s="104"/>
      <c r="B45" s="93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</row>
    <row r="46" spans="1:40" x14ac:dyDescent="0.25">
      <c r="A46" s="104"/>
      <c r="B46" s="93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</row>
    <row r="47" spans="1:40" x14ac:dyDescent="0.2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</row>
    <row r="49" spans="1:38" x14ac:dyDescent="0.25">
      <c r="A49" s="64" t="s">
        <v>204</v>
      </c>
    </row>
    <row r="50" spans="1:38" x14ac:dyDescent="0.25">
      <c r="A50" s="218" t="s">
        <v>140</v>
      </c>
      <c r="B50" s="218"/>
      <c r="C50" s="213" t="s">
        <v>29</v>
      </c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5"/>
      <c r="O50" s="213" t="s">
        <v>30</v>
      </c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5"/>
      <c r="AA50" s="213" t="s">
        <v>31</v>
      </c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5"/>
    </row>
    <row r="51" spans="1:38" x14ac:dyDescent="0.25">
      <c r="A51" s="218"/>
      <c r="B51" s="218"/>
      <c r="C51" s="69" t="s">
        <v>17</v>
      </c>
      <c r="D51" s="69" t="s">
        <v>18</v>
      </c>
      <c r="E51" s="69" t="s">
        <v>19</v>
      </c>
      <c r="F51" s="69" t="s">
        <v>20</v>
      </c>
      <c r="G51" s="69" t="s">
        <v>21</v>
      </c>
      <c r="H51" s="69" t="s">
        <v>22</v>
      </c>
      <c r="I51" s="69" t="s">
        <v>23</v>
      </c>
      <c r="J51" s="69" t="s">
        <v>24</v>
      </c>
      <c r="K51" s="69" t="s">
        <v>25</v>
      </c>
      <c r="L51" s="69" t="s">
        <v>26</v>
      </c>
      <c r="M51" s="69" t="s">
        <v>27</v>
      </c>
      <c r="N51" s="69" t="s">
        <v>28</v>
      </c>
      <c r="O51" s="69" t="s">
        <v>17</v>
      </c>
      <c r="P51" s="69" t="s">
        <v>18</v>
      </c>
      <c r="Q51" s="69" t="s">
        <v>19</v>
      </c>
      <c r="R51" s="69" t="s">
        <v>20</v>
      </c>
      <c r="S51" s="69" t="s">
        <v>21</v>
      </c>
      <c r="T51" s="69" t="s">
        <v>22</v>
      </c>
      <c r="U51" s="69" t="s">
        <v>23</v>
      </c>
      <c r="V51" s="69" t="s">
        <v>24</v>
      </c>
      <c r="W51" s="69" t="s">
        <v>25</v>
      </c>
      <c r="X51" s="69" t="s">
        <v>26</v>
      </c>
      <c r="Y51" s="69" t="s">
        <v>27</v>
      </c>
      <c r="Z51" s="69" t="s">
        <v>28</v>
      </c>
      <c r="AA51" s="69" t="s">
        <v>17</v>
      </c>
      <c r="AB51" s="69" t="s">
        <v>18</v>
      </c>
      <c r="AC51" s="69" t="s">
        <v>19</v>
      </c>
      <c r="AD51" s="69" t="s">
        <v>20</v>
      </c>
      <c r="AE51" s="69" t="s">
        <v>21</v>
      </c>
      <c r="AF51" s="69" t="s">
        <v>22</v>
      </c>
      <c r="AG51" s="69" t="s">
        <v>23</v>
      </c>
      <c r="AH51" s="69" t="s">
        <v>24</v>
      </c>
      <c r="AI51" s="69" t="s">
        <v>25</v>
      </c>
      <c r="AJ51" s="69" t="s">
        <v>26</v>
      </c>
      <c r="AK51" s="69" t="s">
        <v>27</v>
      </c>
      <c r="AL51" s="69" t="s">
        <v>28</v>
      </c>
    </row>
    <row r="52" spans="1:38" s="73" customFormat="1" x14ac:dyDescent="0.25">
      <c r="A52" s="224" t="s">
        <v>189</v>
      </c>
      <c r="B52" s="224"/>
      <c r="C52" s="94">
        <v>30000</v>
      </c>
      <c r="D52" s="94">
        <v>30000</v>
      </c>
      <c r="E52" s="94">
        <v>30000</v>
      </c>
      <c r="F52" s="94">
        <v>30000</v>
      </c>
      <c r="G52" s="94">
        <v>30000</v>
      </c>
      <c r="H52" s="94">
        <v>30000</v>
      </c>
      <c r="I52" s="94">
        <v>30000</v>
      </c>
      <c r="J52" s="94">
        <v>30000</v>
      </c>
      <c r="K52" s="94">
        <v>30000</v>
      </c>
      <c r="L52" s="94">
        <v>30000</v>
      </c>
      <c r="M52" s="94">
        <v>30000</v>
      </c>
      <c r="N52" s="94">
        <v>30000</v>
      </c>
      <c r="O52" s="94">
        <v>30000</v>
      </c>
      <c r="P52" s="94">
        <v>30000</v>
      </c>
      <c r="Q52" s="94">
        <v>30000</v>
      </c>
      <c r="R52" s="94">
        <v>30000</v>
      </c>
      <c r="S52" s="94">
        <v>30000</v>
      </c>
      <c r="T52" s="94">
        <v>30000</v>
      </c>
      <c r="U52" s="94">
        <v>30000</v>
      </c>
      <c r="V52" s="94">
        <v>30000</v>
      </c>
      <c r="W52" s="94">
        <v>30000</v>
      </c>
      <c r="X52" s="94">
        <v>30000</v>
      </c>
      <c r="Y52" s="94">
        <v>30000</v>
      </c>
      <c r="Z52" s="94">
        <v>30000</v>
      </c>
      <c r="AA52" s="94">
        <v>50000</v>
      </c>
      <c r="AB52" s="94">
        <v>50000</v>
      </c>
      <c r="AC52" s="94">
        <v>50000</v>
      </c>
      <c r="AD52" s="94">
        <v>50000</v>
      </c>
      <c r="AE52" s="94">
        <v>50000</v>
      </c>
      <c r="AF52" s="94">
        <v>50000</v>
      </c>
      <c r="AG52" s="94">
        <v>50000</v>
      </c>
      <c r="AH52" s="94">
        <v>50000</v>
      </c>
      <c r="AI52" s="94">
        <v>50000</v>
      </c>
      <c r="AJ52" s="94">
        <v>50000</v>
      </c>
      <c r="AK52" s="94">
        <v>50000</v>
      </c>
      <c r="AL52" s="94">
        <v>50000</v>
      </c>
    </row>
    <row r="53" spans="1:38" s="73" customFormat="1" x14ac:dyDescent="0.25">
      <c r="A53" s="223" t="s">
        <v>195</v>
      </c>
      <c r="B53" s="223"/>
      <c r="C53" s="93">
        <v>10000</v>
      </c>
      <c r="D53" s="93">
        <v>10000</v>
      </c>
      <c r="E53" s="93">
        <v>10000</v>
      </c>
      <c r="F53" s="93">
        <v>10000</v>
      </c>
      <c r="G53" s="93">
        <v>10000</v>
      </c>
      <c r="H53" s="93">
        <v>10000</v>
      </c>
      <c r="I53" s="93">
        <v>10000</v>
      </c>
      <c r="J53" s="93">
        <v>10000</v>
      </c>
      <c r="K53" s="93">
        <v>10000</v>
      </c>
      <c r="L53" s="93">
        <v>10000</v>
      </c>
      <c r="M53" s="93">
        <v>10000</v>
      </c>
      <c r="N53" s="93">
        <v>10000</v>
      </c>
      <c r="O53" s="93">
        <v>20000</v>
      </c>
      <c r="P53" s="93">
        <v>20000</v>
      </c>
      <c r="Q53" s="93">
        <v>20000</v>
      </c>
      <c r="R53" s="93">
        <v>20000</v>
      </c>
      <c r="S53" s="93">
        <v>20000</v>
      </c>
      <c r="T53" s="93">
        <v>20000</v>
      </c>
      <c r="U53" s="93">
        <v>20000</v>
      </c>
      <c r="V53" s="93">
        <v>20000</v>
      </c>
      <c r="W53" s="93">
        <v>20000</v>
      </c>
      <c r="X53" s="93">
        <v>20000</v>
      </c>
      <c r="Y53" s="93">
        <v>20000</v>
      </c>
      <c r="Z53" s="93">
        <v>20000</v>
      </c>
      <c r="AA53" s="94">
        <v>30000</v>
      </c>
      <c r="AB53" s="94">
        <v>30000</v>
      </c>
      <c r="AC53" s="94">
        <v>30000</v>
      </c>
      <c r="AD53" s="94">
        <v>30000</v>
      </c>
      <c r="AE53" s="94">
        <v>30000</v>
      </c>
      <c r="AF53" s="94">
        <v>30000</v>
      </c>
      <c r="AG53" s="94">
        <v>30000</v>
      </c>
      <c r="AH53" s="94">
        <v>30000</v>
      </c>
      <c r="AI53" s="94">
        <v>30000</v>
      </c>
      <c r="AJ53" s="94">
        <v>30000</v>
      </c>
      <c r="AK53" s="94">
        <v>30000</v>
      </c>
      <c r="AL53" s="94">
        <v>30000</v>
      </c>
    </row>
    <row r="54" spans="1:38" x14ac:dyDescent="0.25">
      <c r="A54" s="212" t="s">
        <v>194</v>
      </c>
      <c r="B54" s="212"/>
      <c r="C54" s="94">
        <v>30000</v>
      </c>
      <c r="D54" s="94">
        <v>30000</v>
      </c>
      <c r="E54" s="94">
        <v>30000</v>
      </c>
      <c r="F54" s="94">
        <v>30000</v>
      </c>
      <c r="G54" s="94">
        <v>30000</v>
      </c>
      <c r="H54" s="94">
        <v>30000</v>
      </c>
      <c r="I54" s="94">
        <v>30000</v>
      </c>
      <c r="J54" s="94">
        <v>30000</v>
      </c>
      <c r="K54" s="94">
        <v>30000</v>
      </c>
      <c r="L54" s="94">
        <v>30000</v>
      </c>
      <c r="M54" s="94">
        <v>30000</v>
      </c>
      <c r="N54" s="94">
        <v>30000</v>
      </c>
      <c r="O54" s="94">
        <v>30000</v>
      </c>
      <c r="P54" s="94">
        <v>30000</v>
      </c>
      <c r="Q54" s="94">
        <v>30000</v>
      </c>
      <c r="R54" s="94">
        <v>30000</v>
      </c>
      <c r="S54" s="94">
        <v>30000</v>
      </c>
      <c r="T54" s="94">
        <v>30000</v>
      </c>
      <c r="U54" s="94">
        <v>30000</v>
      </c>
      <c r="V54" s="94">
        <v>30000</v>
      </c>
      <c r="W54" s="94">
        <v>30000</v>
      </c>
      <c r="X54" s="94">
        <v>30000</v>
      </c>
      <c r="Y54" s="94">
        <v>30000</v>
      </c>
      <c r="Z54" s="94">
        <v>30000</v>
      </c>
      <c r="AA54" s="94">
        <v>50000</v>
      </c>
      <c r="AB54" s="94">
        <v>50000</v>
      </c>
      <c r="AC54" s="94">
        <v>50000</v>
      </c>
      <c r="AD54" s="94">
        <v>50000</v>
      </c>
      <c r="AE54" s="94">
        <v>50000</v>
      </c>
      <c r="AF54" s="94">
        <v>50000</v>
      </c>
      <c r="AG54" s="94">
        <v>50000</v>
      </c>
      <c r="AH54" s="94">
        <v>50000</v>
      </c>
      <c r="AI54" s="94">
        <v>50000</v>
      </c>
      <c r="AJ54" s="94">
        <v>50000</v>
      </c>
      <c r="AK54" s="94">
        <v>50000</v>
      </c>
      <c r="AL54" s="94">
        <v>50000</v>
      </c>
    </row>
    <row r="55" spans="1:38" ht="31.5" hidden="1" customHeight="1" x14ac:dyDescent="0.25">
      <c r="A55" s="222"/>
      <c r="B55" s="22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ht="16.899999999999999" customHeight="1" x14ac:dyDescent="0.25">
      <c r="A56" s="233" t="s">
        <v>197</v>
      </c>
      <c r="B56" s="234"/>
      <c r="C56" s="93">
        <f>C34*0.03</f>
        <v>0</v>
      </c>
      <c r="D56" s="93">
        <f t="shared" ref="D56:AL56" si="60">D34*0.03</f>
        <v>0</v>
      </c>
      <c r="E56" s="93">
        <f t="shared" si="60"/>
        <v>0</v>
      </c>
      <c r="F56" s="93">
        <f t="shared" si="60"/>
        <v>18300</v>
      </c>
      <c r="G56" s="93">
        <f t="shared" si="60"/>
        <v>32025</v>
      </c>
      <c r="H56" s="93">
        <f t="shared" si="60"/>
        <v>41175</v>
      </c>
      <c r="I56" s="93">
        <f t="shared" si="60"/>
        <v>82350</v>
      </c>
      <c r="J56" s="93">
        <f t="shared" si="60"/>
        <v>137250</v>
      </c>
      <c r="K56" s="93">
        <f t="shared" si="60"/>
        <v>137250</v>
      </c>
      <c r="L56" s="93">
        <f t="shared" si="60"/>
        <v>137250</v>
      </c>
      <c r="M56" s="93">
        <f t="shared" si="60"/>
        <v>91500</v>
      </c>
      <c r="N56" s="93">
        <f t="shared" si="60"/>
        <v>91500</v>
      </c>
      <c r="O56" s="93">
        <f>O34*0.03</f>
        <v>274500</v>
      </c>
      <c r="P56" s="93">
        <f t="shared" si="60"/>
        <v>274500</v>
      </c>
      <c r="Q56" s="93">
        <f t="shared" si="60"/>
        <v>274500</v>
      </c>
      <c r="R56" s="93">
        <f t="shared" si="60"/>
        <v>183000</v>
      </c>
      <c r="S56" s="93">
        <f t="shared" si="60"/>
        <v>183000</v>
      </c>
      <c r="T56" s="93">
        <f t="shared" si="60"/>
        <v>274500</v>
      </c>
      <c r="U56" s="93">
        <f t="shared" si="60"/>
        <v>274500</v>
      </c>
      <c r="V56" s="93">
        <f t="shared" si="60"/>
        <v>183000</v>
      </c>
      <c r="W56" s="93">
        <f t="shared" si="60"/>
        <v>183000</v>
      </c>
      <c r="X56" s="93">
        <f t="shared" si="60"/>
        <v>274500</v>
      </c>
      <c r="Y56" s="93">
        <f t="shared" si="60"/>
        <v>274500</v>
      </c>
      <c r="Z56" s="93">
        <f t="shared" si="60"/>
        <v>183000</v>
      </c>
      <c r="AA56" s="93">
        <f>AA34*0.03</f>
        <v>274500</v>
      </c>
      <c r="AB56" s="93">
        <f t="shared" si="60"/>
        <v>274500</v>
      </c>
      <c r="AC56" s="93">
        <f t="shared" si="60"/>
        <v>274500</v>
      </c>
      <c r="AD56" s="93">
        <f t="shared" si="60"/>
        <v>411750</v>
      </c>
      <c r="AE56" s="93">
        <f t="shared" si="60"/>
        <v>411750</v>
      </c>
      <c r="AF56" s="93">
        <f t="shared" si="60"/>
        <v>274500</v>
      </c>
      <c r="AG56" s="93">
        <f t="shared" si="60"/>
        <v>411750</v>
      </c>
      <c r="AH56" s="93">
        <f t="shared" si="60"/>
        <v>411750</v>
      </c>
      <c r="AI56" s="93">
        <f t="shared" si="60"/>
        <v>411750</v>
      </c>
      <c r="AJ56" s="93">
        <f t="shared" si="60"/>
        <v>411750</v>
      </c>
      <c r="AK56" s="93">
        <f t="shared" si="60"/>
        <v>411750</v>
      </c>
      <c r="AL56" s="93">
        <f t="shared" si="60"/>
        <v>411750</v>
      </c>
    </row>
    <row r="57" spans="1:38" x14ac:dyDescent="0.25">
      <c r="A57" s="222" t="s">
        <v>56</v>
      </c>
      <c r="B57" s="222"/>
      <c r="C57" s="93"/>
      <c r="D57" s="93"/>
      <c r="E57" s="93"/>
      <c r="F57" s="93">
        <v>150000</v>
      </c>
      <c r="G57" s="93">
        <v>150000</v>
      </c>
      <c r="H57" s="93">
        <v>150000</v>
      </c>
      <c r="I57" s="93">
        <v>150000</v>
      </c>
      <c r="J57" s="93">
        <v>150000</v>
      </c>
      <c r="K57" s="93">
        <v>150000</v>
      </c>
      <c r="L57" s="93">
        <v>150000</v>
      </c>
      <c r="M57" s="93">
        <v>150000</v>
      </c>
      <c r="N57" s="93">
        <v>150000</v>
      </c>
      <c r="O57" s="93">
        <v>150000</v>
      </c>
      <c r="P57" s="93">
        <v>150000</v>
      </c>
      <c r="Q57" s="93">
        <v>150000</v>
      </c>
      <c r="R57" s="93">
        <v>150000</v>
      </c>
      <c r="S57" s="93">
        <v>150000</v>
      </c>
      <c r="T57" s="93">
        <v>150000</v>
      </c>
      <c r="U57" s="93">
        <v>150000</v>
      </c>
      <c r="V57" s="93">
        <v>150000</v>
      </c>
      <c r="W57" s="93">
        <v>150000</v>
      </c>
      <c r="X57" s="93">
        <v>150000</v>
      </c>
      <c r="Y57" s="93">
        <v>150000</v>
      </c>
      <c r="Z57" s="93">
        <v>150000</v>
      </c>
      <c r="AA57" s="93">
        <v>150000</v>
      </c>
      <c r="AB57" s="93">
        <v>150000</v>
      </c>
      <c r="AC57" s="93">
        <v>150000</v>
      </c>
      <c r="AD57" s="93">
        <v>150000</v>
      </c>
      <c r="AE57" s="93">
        <v>150000</v>
      </c>
      <c r="AF57" s="93">
        <v>150000</v>
      </c>
      <c r="AG57" s="93">
        <v>150000</v>
      </c>
      <c r="AH57" s="93">
        <v>150000</v>
      </c>
      <c r="AI57" s="93">
        <v>150000</v>
      </c>
      <c r="AJ57" s="93">
        <v>150000</v>
      </c>
      <c r="AK57" s="93">
        <v>150000</v>
      </c>
      <c r="AL57" s="93">
        <v>150000</v>
      </c>
    </row>
    <row r="58" spans="1:38" ht="32.25" customHeight="1" x14ac:dyDescent="0.25">
      <c r="A58" s="221" t="s">
        <v>196</v>
      </c>
      <c r="B58" s="221"/>
      <c r="C58" s="93">
        <v>30000</v>
      </c>
      <c r="D58" s="93">
        <v>30000</v>
      </c>
      <c r="E58" s="93">
        <v>30000</v>
      </c>
      <c r="F58" s="93">
        <v>30000</v>
      </c>
      <c r="G58" s="93">
        <v>30000</v>
      </c>
      <c r="H58" s="93">
        <v>30000</v>
      </c>
      <c r="I58" s="93">
        <v>30000</v>
      </c>
      <c r="J58" s="93">
        <v>30000</v>
      </c>
      <c r="K58" s="93">
        <v>30000</v>
      </c>
      <c r="L58" s="93">
        <v>30000</v>
      </c>
      <c r="M58" s="93">
        <v>30000</v>
      </c>
      <c r="N58" s="93">
        <v>30000</v>
      </c>
      <c r="O58" s="93">
        <v>30000</v>
      </c>
      <c r="P58" s="93">
        <v>30000</v>
      </c>
      <c r="Q58" s="93">
        <v>30000</v>
      </c>
      <c r="R58" s="93">
        <v>30000</v>
      </c>
      <c r="S58" s="93">
        <v>30000</v>
      </c>
      <c r="T58" s="93">
        <v>30000</v>
      </c>
      <c r="U58" s="93">
        <v>30000</v>
      </c>
      <c r="V58" s="93">
        <v>30000</v>
      </c>
      <c r="W58" s="93">
        <v>30000</v>
      </c>
      <c r="X58" s="93">
        <v>30000</v>
      </c>
      <c r="Y58" s="93">
        <v>30000</v>
      </c>
      <c r="Z58" s="93">
        <v>30000</v>
      </c>
      <c r="AA58" s="93">
        <v>30000</v>
      </c>
      <c r="AB58" s="93">
        <v>30000</v>
      </c>
      <c r="AC58" s="93">
        <v>30000</v>
      </c>
      <c r="AD58" s="93">
        <v>30000</v>
      </c>
      <c r="AE58" s="93">
        <v>30000</v>
      </c>
      <c r="AF58" s="93">
        <v>30000</v>
      </c>
      <c r="AG58" s="93">
        <v>30000</v>
      </c>
      <c r="AH58" s="93">
        <v>30000</v>
      </c>
      <c r="AI58" s="93">
        <v>30000</v>
      </c>
      <c r="AJ58" s="93">
        <v>30000</v>
      </c>
      <c r="AK58" s="93">
        <v>30000</v>
      </c>
      <c r="AL58" s="93">
        <v>30000</v>
      </c>
    </row>
    <row r="59" spans="1:38" hidden="1" x14ac:dyDescent="0.25">
      <c r="A59" s="221"/>
      <c r="B59" s="221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</row>
    <row r="60" spans="1:38" hidden="1" x14ac:dyDescent="0.25">
      <c r="A60" s="221"/>
      <c r="B60" s="221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</row>
    <row r="62" spans="1:38" x14ac:dyDescent="0.25">
      <c r="A62" s="64" t="s">
        <v>120</v>
      </c>
    </row>
    <row r="63" spans="1:38" ht="15.6" customHeight="1" x14ac:dyDescent="0.25">
      <c r="A63" s="235" t="s">
        <v>141</v>
      </c>
      <c r="B63" s="236"/>
      <c r="C63" s="213" t="s">
        <v>29</v>
      </c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5"/>
      <c r="O63" s="213" t="s">
        <v>30</v>
      </c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5"/>
      <c r="AA63" s="213" t="s">
        <v>31</v>
      </c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5"/>
    </row>
    <row r="64" spans="1:38" x14ac:dyDescent="0.25">
      <c r="A64" s="237"/>
      <c r="B64" s="238"/>
      <c r="C64" s="69" t="s">
        <v>17</v>
      </c>
      <c r="D64" s="69" t="s">
        <v>18</v>
      </c>
      <c r="E64" s="69" t="s">
        <v>19</v>
      </c>
      <c r="F64" s="69" t="s">
        <v>20</v>
      </c>
      <c r="G64" s="69" t="s">
        <v>21</v>
      </c>
      <c r="H64" s="69" t="s">
        <v>22</v>
      </c>
      <c r="I64" s="69" t="s">
        <v>23</v>
      </c>
      <c r="J64" s="69" t="s">
        <v>24</v>
      </c>
      <c r="K64" s="69" t="s">
        <v>25</v>
      </c>
      <c r="L64" s="69" t="s">
        <v>26</v>
      </c>
      <c r="M64" s="69" t="s">
        <v>27</v>
      </c>
      <c r="N64" s="69" t="s">
        <v>28</v>
      </c>
      <c r="O64" s="69" t="s">
        <v>17</v>
      </c>
      <c r="P64" s="69" t="s">
        <v>18</v>
      </c>
      <c r="Q64" s="69" t="s">
        <v>19</v>
      </c>
      <c r="R64" s="69" t="s">
        <v>20</v>
      </c>
      <c r="S64" s="69" t="s">
        <v>21</v>
      </c>
      <c r="T64" s="69" t="s">
        <v>22</v>
      </c>
      <c r="U64" s="69" t="s">
        <v>23</v>
      </c>
      <c r="V64" s="69" t="s">
        <v>24</v>
      </c>
      <c r="W64" s="69" t="s">
        <v>25</v>
      </c>
      <c r="X64" s="69" t="s">
        <v>26</v>
      </c>
      <c r="Y64" s="69" t="s">
        <v>27</v>
      </c>
      <c r="Z64" s="69" t="s">
        <v>28</v>
      </c>
      <c r="AA64" s="69" t="s">
        <v>17</v>
      </c>
      <c r="AB64" s="69" t="s">
        <v>18</v>
      </c>
      <c r="AC64" s="69" t="s">
        <v>19</v>
      </c>
      <c r="AD64" s="69" t="s">
        <v>20</v>
      </c>
      <c r="AE64" s="69" t="s">
        <v>21</v>
      </c>
      <c r="AF64" s="69" t="s">
        <v>22</v>
      </c>
      <c r="AG64" s="69" t="s">
        <v>23</v>
      </c>
      <c r="AH64" s="69" t="s">
        <v>24</v>
      </c>
      <c r="AI64" s="69" t="s">
        <v>25</v>
      </c>
      <c r="AJ64" s="69" t="s">
        <v>26</v>
      </c>
      <c r="AK64" s="69" t="s">
        <v>27</v>
      </c>
      <c r="AL64" s="69" t="s">
        <v>28</v>
      </c>
    </row>
    <row r="65" spans="1:38" ht="44.45" customHeight="1" x14ac:dyDescent="0.25">
      <c r="A65" s="239" t="s">
        <v>198</v>
      </c>
      <c r="B65" s="240"/>
      <c r="C65" s="93">
        <v>500000</v>
      </c>
      <c r="D65" s="93">
        <v>500000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</row>
    <row r="66" spans="1:38" ht="15.6" customHeight="1" x14ac:dyDescent="0.25">
      <c r="A66" s="221" t="s">
        <v>199</v>
      </c>
      <c r="B66" s="221"/>
      <c r="C66" s="93"/>
      <c r="D66" s="93"/>
      <c r="E66" s="93">
        <v>200000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</row>
    <row r="67" spans="1:38" ht="15.6" customHeight="1" x14ac:dyDescent="0.25">
      <c r="A67" s="231" t="s">
        <v>200</v>
      </c>
      <c r="B67" s="232"/>
      <c r="C67" s="93"/>
      <c r="D67" s="93"/>
      <c r="E67" s="93">
        <v>50000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</row>
    <row r="68" spans="1:38" ht="15.6" customHeight="1" x14ac:dyDescent="0.25">
      <c r="A68" s="221" t="s">
        <v>201</v>
      </c>
      <c r="B68" s="221"/>
      <c r="C68" s="93"/>
      <c r="D68" s="93"/>
      <c r="E68" s="93">
        <v>100000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</row>
    <row r="69" spans="1:38" ht="15.6" customHeight="1" x14ac:dyDescent="0.25">
      <c r="A69" s="231" t="s">
        <v>202</v>
      </c>
      <c r="B69" s="232"/>
      <c r="C69" s="93"/>
      <c r="D69" s="93"/>
      <c r="E69" s="211">
        <v>200000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</row>
    <row r="70" spans="1:38" ht="36.6" customHeight="1" x14ac:dyDescent="0.25">
      <c r="A70" s="231" t="s">
        <v>219</v>
      </c>
      <c r="B70" s="232"/>
      <c r="C70" s="93"/>
      <c r="D70" s="93"/>
      <c r="E70" s="93">
        <v>50000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</row>
    <row r="71" spans="1:38" ht="18" customHeight="1" x14ac:dyDescent="0.25">
      <c r="A71" s="231" t="s">
        <v>220</v>
      </c>
      <c r="B71" s="232"/>
      <c r="C71" s="211">
        <v>400000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</row>
    <row r="72" spans="1:38" ht="32.25" customHeight="1" x14ac:dyDescent="0.25">
      <c r="A72" s="229" t="s">
        <v>188</v>
      </c>
      <c r="B72" s="230"/>
      <c r="C72" s="93">
        <f>SUM(C65:C71)</f>
        <v>900000</v>
      </c>
      <c r="D72" s="93">
        <f>SUM(D65:D71)</f>
        <v>500000</v>
      </c>
      <c r="E72" s="93">
        <f>SUM(E65:E71)</f>
        <v>600000</v>
      </c>
      <c r="F72" s="93">
        <f>SUM(F65:F68)</f>
        <v>0</v>
      </c>
      <c r="G72" s="93">
        <f>SUM(G65:G68)</f>
        <v>0</v>
      </c>
      <c r="H72" s="93">
        <f>SUM(H65:H68)</f>
        <v>0</v>
      </c>
      <c r="I72" s="93">
        <f>SUM(I65:I68)</f>
        <v>0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</row>
    <row r="75" spans="1:38" x14ac:dyDescent="0.25">
      <c r="A75" s="64" t="s">
        <v>221</v>
      </c>
    </row>
    <row r="76" spans="1:38" x14ac:dyDescent="0.25">
      <c r="A76" s="218" t="s">
        <v>105</v>
      </c>
      <c r="B76" s="217" t="s">
        <v>83</v>
      </c>
      <c r="C76" s="217"/>
      <c r="D76" s="217"/>
      <c r="E76" s="217"/>
      <c r="F76" s="217" t="s">
        <v>85</v>
      </c>
      <c r="G76" s="217"/>
      <c r="H76" s="217"/>
      <c r="I76" s="217"/>
      <c r="J76" s="217" t="s">
        <v>86</v>
      </c>
      <c r="K76" s="217"/>
      <c r="L76" s="217"/>
      <c r="M76" s="217"/>
    </row>
    <row r="77" spans="1:38" x14ac:dyDescent="0.25">
      <c r="A77" s="218"/>
      <c r="B77" s="74" t="s">
        <v>79</v>
      </c>
      <c r="C77" s="74" t="s">
        <v>80</v>
      </c>
      <c r="D77" s="74" t="s">
        <v>81</v>
      </c>
      <c r="E77" s="74" t="s">
        <v>82</v>
      </c>
      <c r="F77" s="74" t="s">
        <v>79</v>
      </c>
      <c r="G77" s="74" t="s">
        <v>80</v>
      </c>
      <c r="H77" s="74" t="s">
        <v>81</v>
      </c>
      <c r="I77" s="74" t="s">
        <v>82</v>
      </c>
      <c r="J77" s="74" t="s">
        <v>79</v>
      </c>
      <c r="K77" s="74" t="s">
        <v>80</v>
      </c>
      <c r="L77" s="74" t="s">
        <v>81</v>
      </c>
      <c r="M77" s="74" t="s">
        <v>82</v>
      </c>
    </row>
    <row r="78" spans="1:38" x14ac:dyDescent="0.25">
      <c r="A78" s="61" t="s">
        <v>119</v>
      </c>
      <c r="B78" s="75" t="str">
        <f>IF('Итоговые расчеты модели'!B72&lt;0,"Кассовый разрыв","ОК")</f>
        <v>ОК</v>
      </c>
      <c r="C78" s="75" t="str">
        <f>IF('Итоговые расчеты модели'!C72&lt;0,"Кассовый разрыв","ОК")</f>
        <v>ОК</v>
      </c>
      <c r="D78" s="75" t="str">
        <f>IF('Итоговые расчеты модели'!D72&lt;0,"Кассовый разрыв","ОК")</f>
        <v>ОК</v>
      </c>
      <c r="E78" s="75" t="str">
        <f>IF('Итоговые расчеты модели'!E72&lt;0,"Кассовый разрыв","ОК")</f>
        <v>ОК</v>
      </c>
      <c r="F78" s="75" t="str">
        <f>IF('Итоговые расчеты модели'!F72&lt;0,"Кассовый разрыв","ОК")</f>
        <v>ОК</v>
      </c>
      <c r="G78" s="75" t="str">
        <f>IF('Итоговые расчеты модели'!G72&lt;0,"Кассовый разрыв","ОК")</f>
        <v>ОК</v>
      </c>
      <c r="H78" s="75" t="str">
        <f>IF('Итоговые расчеты модели'!H72&lt;0,"Кассовый разрыв","ОК")</f>
        <v>ОК</v>
      </c>
      <c r="I78" s="75" t="str">
        <f>IF('Итоговые расчеты модели'!I72&lt;0,"Кассовый разрыв","ОК")</f>
        <v>ОК</v>
      </c>
      <c r="J78" s="75" t="str">
        <f>IF('Итоговые расчеты модели'!J72&lt;0,"Кассовый разрыв","ОК")</f>
        <v>ОК</v>
      </c>
      <c r="K78" s="75" t="str">
        <f>IF('Итоговые расчеты модели'!K72&lt;0,"Кассовый разрыв","ОК")</f>
        <v>ОК</v>
      </c>
      <c r="L78" s="75" t="str">
        <f>IF('Итоговые расчеты модели'!L72&lt;0,"Кассовый разрыв","ОК")</f>
        <v>ОК</v>
      </c>
      <c r="M78" s="75" t="str">
        <f>IF('Итоговые расчеты модели'!M72&lt;0,"Кассовый разрыв","ОК")</f>
        <v>ОК</v>
      </c>
    </row>
    <row r="79" spans="1:38" ht="31.5" x14ac:dyDescent="0.25">
      <c r="A79" s="61" t="s">
        <v>123</v>
      </c>
      <c r="B79" s="76">
        <f>'Итоговые расчеты модели'!B72</f>
        <v>2387.52</v>
      </c>
      <c r="C79" s="76">
        <f>'Итоговые расчеты модели'!C72</f>
        <v>1335.76</v>
      </c>
      <c r="D79" s="76">
        <f>'Итоговые расчеты модели'!D72</f>
        <v>1697.2720000000002</v>
      </c>
      <c r="E79" s="76">
        <f>'Итоговые расчеты модели'!E72</f>
        <v>1892.8640000000003</v>
      </c>
      <c r="F79" s="76">
        <f>'Итоговые расчеты модели'!F72</f>
        <v>4397.7939200000001</v>
      </c>
      <c r="G79" s="76">
        <f>'Итоговые расчеты модели'!G72</f>
        <v>6034.0838400000002</v>
      </c>
      <c r="H79" s="76">
        <f>'Итоговые расчеты модели'!H72</f>
        <v>7670.3737600000004</v>
      </c>
      <c r="I79" s="76">
        <f>'Итоговые расчеты модели'!I72</f>
        <v>9740.9836800000012</v>
      </c>
      <c r="J79" s="76">
        <f>'Итоговые расчеты модели'!J72</f>
        <v>12176.0292864</v>
      </c>
      <c r="K79" s="76">
        <f>'Итоговые расчеты модели'!K72</f>
        <v>15974.937292800001</v>
      </c>
      <c r="L79" s="76">
        <f>'Итоговые расчеты модели'!L72</f>
        <v>20455.776499200001</v>
      </c>
      <c r="M79" s="76">
        <f>'Итоговые расчеты модели'!M72</f>
        <v>24936.615705600001</v>
      </c>
    </row>
    <row r="80" spans="1:38" ht="31.5" x14ac:dyDescent="0.25">
      <c r="A80" s="61" t="s">
        <v>124</v>
      </c>
      <c r="B80" s="106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</row>
    <row r="81" spans="1:13" ht="31.5" x14ac:dyDescent="0.25">
      <c r="A81" s="61" t="s">
        <v>125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</row>
    <row r="85" spans="1:13" outlineLevel="1" x14ac:dyDescent="0.25"/>
    <row r="86" spans="1:13" outlineLevel="1" x14ac:dyDescent="0.25"/>
    <row r="87" spans="1:13" ht="31.5" hidden="1" outlineLevel="1" x14ac:dyDescent="0.25">
      <c r="A87" s="77" t="s">
        <v>39</v>
      </c>
      <c r="E87" s="78" t="s">
        <v>186</v>
      </c>
    </row>
    <row r="88" spans="1:13" hidden="1" outlineLevel="1" x14ac:dyDescent="0.25">
      <c r="A88" s="66" t="s">
        <v>36</v>
      </c>
      <c r="E88" s="79" t="s">
        <v>159</v>
      </c>
    </row>
    <row r="89" spans="1:13" hidden="1" outlineLevel="1" x14ac:dyDescent="0.25">
      <c r="A89" s="66" t="s">
        <v>37</v>
      </c>
      <c r="E89" s="79" t="s">
        <v>160</v>
      </c>
    </row>
    <row r="90" spans="1:13" hidden="1" outlineLevel="1" x14ac:dyDescent="0.25">
      <c r="A90" s="66" t="s">
        <v>38</v>
      </c>
      <c r="E90" s="79" t="s">
        <v>161</v>
      </c>
    </row>
    <row r="91" spans="1:13" hidden="1" outlineLevel="1" x14ac:dyDescent="0.25">
      <c r="E91" s="79" t="s">
        <v>162</v>
      </c>
    </row>
    <row r="92" spans="1:13" hidden="1" outlineLevel="1" x14ac:dyDescent="0.25">
      <c r="A92" s="80" t="s">
        <v>41</v>
      </c>
      <c r="E92" s="79" t="s">
        <v>163</v>
      </c>
    </row>
    <row r="93" spans="1:13" hidden="1" outlineLevel="1" x14ac:dyDescent="0.25">
      <c r="A93" s="66" t="s">
        <v>44</v>
      </c>
      <c r="B93" s="72">
        <v>2</v>
      </c>
      <c r="E93" s="79" t="s">
        <v>164</v>
      </c>
    </row>
    <row r="94" spans="1:13" hidden="1" outlineLevel="1" x14ac:dyDescent="0.25">
      <c r="A94" s="66" t="s">
        <v>42</v>
      </c>
      <c r="B94" s="72">
        <v>2</v>
      </c>
      <c r="E94" s="79" t="s">
        <v>165</v>
      </c>
    </row>
    <row r="95" spans="1:13" hidden="1" outlineLevel="1" x14ac:dyDescent="0.25">
      <c r="A95" s="66" t="s">
        <v>43</v>
      </c>
      <c r="B95" s="72">
        <v>3.5</v>
      </c>
      <c r="E95" s="79" t="s">
        <v>166</v>
      </c>
    </row>
    <row r="96" spans="1:13" hidden="1" outlineLevel="1" x14ac:dyDescent="0.25">
      <c r="A96" s="66" t="s">
        <v>45</v>
      </c>
      <c r="B96" s="72">
        <v>5</v>
      </c>
      <c r="E96" s="79" t="s">
        <v>167</v>
      </c>
    </row>
    <row r="97" spans="1:5" hidden="1" outlineLevel="1" x14ac:dyDescent="0.25">
      <c r="A97" s="66" t="s">
        <v>46</v>
      </c>
      <c r="B97" s="72">
        <v>10</v>
      </c>
      <c r="E97" s="79" t="s">
        <v>168</v>
      </c>
    </row>
    <row r="98" spans="1:5" hidden="1" outlineLevel="1" x14ac:dyDescent="0.25">
      <c r="E98" s="79" t="s">
        <v>169</v>
      </c>
    </row>
    <row r="99" spans="1:5" hidden="1" outlineLevel="1" x14ac:dyDescent="0.25">
      <c r="E99" s="79" t="s">
        <v>170</v>
      </c>
    </row>
    <row r="100" spans="1:5" hidden="1" outlineLevel="1" x14ac:dyDescent="0.25">
      <c r="A100" s="226" t="s">
        <v>57</v>
      </c>
      <c r="B100" s="227"/>
    </row>
    <row r="101" spans="1:5" hidden="1" outlineLevel="1" x14ac:dyDescent="0.25">
      <c r="A101" s="66" t="s">
        <v>58</v>
      </c>
      <c r="B101" s="81">
        <v>0.22</v>
      </c>
    </row>
    <row r="102" spans="1:5" hidden="1" outlineLevel="1" x14ac:dyDescent="0.25">
      <c r="A102" s="66" t="s">
        <v>59</v>
      </c>
      <c r="B102" s="81">
        <v>5.0999999999999997E-2</v>
      </c>
    </row>
    <row r="103" spans="1:5" hidden="1" outlineLevel="1" x14ac:dyDescent="0.25">
      <c r="A103" s="66" t="s">
        <v>60</v>
      </c>
      <c r="B103" s="81">
        <v>2.9000000000000001E-2</v>
      </c>
    </row>
    <row r="104" spans="1:5" hidden="1" outlineLevel="1" x14ac:dyDescent="0.25">
      <c r="A104" s="66" t="s">
        <v>61</v>
      </c>
      <c r="B104" s="81">
        <v>2E-3</v>
      </c>
    </row>
    <row r="105" spans="1:5" hidden="1" outlineLevel="1" x14ac:dyDescent="0.25"/>
    <row r="106" spans="1:5" hidden="1" outlineLevel="1" x14ac:dyDescent="0.25"/>
    <row r="107" spans="1:5" hidden="1" outlineLevel="1" x14ac:dyDescent="0.25">
      <c r="A107" s="80" t="s">
        <v>62</v>
      </c>
      <c r="B107" s="72">
        <v>1</v>
      </c>
    </row>
    <row r="108" spans="1:5" hidden="1" outlineLevel="1" x14ac:dyDescent="0.25">
      <c r="A108" s="82">
        <v>2</v>
      </c>
      <c r="B108" s="72">
        <v>2</v>
      </c>
    </row>
    <row r="109" spans="1:5" hidden="1" outlineLevel="1" x14ac:dyDescent="0.25">
      <c r="A109" s="82">
        <v>3</v>
      </c>
      <c r="B109" s="72">
        <v>3</v>
      </c>
    </row>
    <row r="110" spans="1:5" hidden="1" outlineLevel="1" x14ac:dyDescent="0.25"/>
    <row r="111" spans="1:5" hidden="1" outlineLevel="1" x14ac:dyDescent="0.25">
      <c r="A111" s="228" t="s">
        <v>0</v>
      </c>
      <c r="B111" s="228"/>
      <c r="C111" s="83" t="s">
        <v>1</v>
      </c>
      <c r="D111" s="84">
        <v>974</v>
      </c>
    </row>
    <row r="112" spans="1:5" hidden="1" outlineLevel="1" x14ac:dyDescent="0.25">
      <c r="A112" s="228" t="s">
        <v>2</v>
      </c>
      <c r="B112" s="228"/>
      <c r="C112" s="83" t="s">
        <v>3</v>
      </c>
      <c r="D112" s="84">
        <v>88.391499999999994</v>
      </c>
    </row>
    <row r="113" spans="1:6" hidden="1" outlineLevel="1" x14ac:dyDescent="0.25">
      <c r="A113" s="228" t="s">
        <v>4</v>
      </c>
      <c r="B113" s="228"/>
      <c r="C113" s="83" t="s">
        <v>5</v>
      </c>
      <c r="D113" s="84">
        <v>1.1000000000000001</v>
      </c>
    </row>
    <row r="114" spans="1:6" hidden="1" outlineLevel="1" x14ac:dyDescent="0.25">
      <c r="A114" s="228" t="s">
        <v>6</v>
      </c>
      <c r="B114" s="228"/>
      <c r="C114" s="83" t="s">
        <v>7</v>
      </c>
      <c r="D114" s="79">
        <v>0.9</v>
      </c>
    </row>
    <row r="115" spans="1:6" hidden="1" outlineLevel="1" x14ac:dyDescent="0.25">
      <c r="A115" s="228" t="s">
        <v>8</v>
      </c>
      <c r="B115" s="228"/>
      <c r="C115" s="83" t="s">
        <v>9</v>
      </c>
      <c r="D115" s="84">
        <v>1</v>
      </c>
    </row>
    <row r="116" spans="1:6" hidden="1" outlineLevel="1" x14ac:dyDescent="0.25">
      <c r="A116" s="228" t="s">
        <v>10</v>
      </c>
      <c r="B116" s="228"/>
      <c r="C116" s="83" t="s">
        <v>11</v>
      </c>
      <c r="D116" s="84">
        <v>1</v>
      </c>
    </row>
    <row r="117" spans="1:6" hidden="1" outlineLevel="1" x14ac:dyDescent="0.25">
      <c r="A117" s="228" t="s">
        <v>12</v>
      </c>
      <c r="B117" s="228"/>
      <c r="C117" s="83" t="s">
        <v>13</v>
      </c>
      <c r="D117" s="84">
        <v>1.05</v>
      </c>
    </row>
    <row r="118" spans="1:6" hidden="1" outlineLevel="1" x14ac:dyDescent="0.25">
      <c r="A118" s="228" t="s">
        <v>14</v>
      </c>
      <c r="B118" s="228"/>
      <c r="C118" s="83" t="s">
        <v>15</v>
      </c>
      <c r="D118" s="84">
        <v>1</v>
      </c>
    </row>
    <row r="119" spans="1:6" hidden="1" outlineLevel="1" x14ac:dyDescent="0.25"/>
    <row r="120" spans="1:6" hidden="1" outlineLevel="1" x14ac:dyDescent="0.25"/>
    <row r="121" spans="1:6" hidden="1" outlineLevel="1" x14ac:dyDescent="0.25">
      <c r="A121" s="225" t="s">
        <v>64</v>
      </c>
      <c r="B121" s="225"/>
      <c r="C121" s="225"/>
      <c r="D121" s="225"/>
      <c r="E121" s="225"/>
      <c r="F121" s="225"/>
    </row>
    <row r="122" spans="1:6" ht="31.5" hidden="1" outlineLevel="1" x14ac:dyDescent="0.25">
      <c r="A122" s="85" t="s">
        <v>65</v>
      </c>
      <c r="B122" s="85" t="s">
        <v>66</v>
      </c>
      <c r="C122" s="85" t="s">
        <v>67</v>
      </c>
      <c r="D122" s="85" t="s">
        <v>68</v>
      </c>
      <c r="E122" s="85" t="s">
        <v>69</v>
      </c>
    </row>
    <row r="123" spans="1:6" hidden="1" outlineLevel="1" x14ac:dyDescent="0.25">
      <c r="A123" s="86">
        <v>1</v>
      </c>
      <c r="B123" s="87">
        <f>ROUND(IF(A123-1&lt;$B$22,0,D123-C123),2)</f>
        <v>0</v>
      </c>
      <c r="C123" s="87">
        <f>ROUND(B20*$B$23/12,2)</f>
        <v>0</v>
      </c>
      <c r="D123" s="87">
        <f>ROUND(IF(A123&gt;$B$21,0,IF(A123-1&lt;$B$22,C123,-PMT($B$23/12,$B$21-$B$22,$B$20))),2)</f>
        <v>0</v>
      </c>
      <c r="E123" s="87">
        <f>B20-B123</f>
        <v>0</v>
      </c>
    </row>
    <row r="124" spans="1:6" hidden="1" outlineLevel="1" x14ac:dyDescent="0.25">
      <c r="A124" s="86">
        <v>2</v>
      </c>
      <c r="B124" s="87">
        <f t="shared" ref="B124:B158" si="61">ROUND(IF(A124-1&lt;$B$22,0,D124-C124),2)</f>
        <v>0</v>
      </c>
      <c r="C124" s="87">
        <f>ROUND(E123*$B$23/12,2)</f>
        <v>0</v>
      </c>
      <c r="D124" s="87">
        <f>ROUND(IF(A124&gt;$B$21,0,IF(A124-1&lt;$B$22,C124,-PMT($B$23/12,$B$21-$B$22,$B$20))),2)</f>
        <v>0</v>
      </c>
      <c r="E124" s="87">
        <f>E123-B124</f>
        <v>0</v>
      </c>
    </row>
    <row r="125" spans="1:6" hidden="1" outlineLevel="1" x14ac:dyDescent="0.25">
      <c r="A125" s="86">
        <v>3</v>
      </c>
      <c r="B125" s="87">
        <f t="shared" si="61"/>
        <v>0</v>
      </c>
      <c r="C125" s="87">
        <f>ROUND(E124*$B$23/12,2)</f>
        <v>0</v>
      </c>
      <c r="D125" s="87">
        <f t="shared" ref="D125:D158" si="62">ROUND(IF(A125&gt;$B$21,0,IF(A125-1&lt;$B$22,C125,-PMT($B$23/12,$B$21-$B$22,$B$20))),2)</f>
        <v>0</v>
      </c>
      <c r="E125" s="87">
        <f t="shared" ref="E125:E132" si="63">E124-B125</f>
        <v>0</v>
      </c>
    </row>
    <row r="126" spans="1:6" hidden="1" outlineLevel="1" x14ac:dyDescent="0.25">
      <c r="A126" s="86">
        <v>4</v>
      </c>
      <c r="B126" s="87">
        <f>ROUND(IF(A126-1&lt;$B$22,0,D126-C126),2)</f>
        <v>0</v>
      </c>
      <c r="C126" s="87">
        <f>ROUND(E125*$B$23/12,2)</f>
        <v>0</v>
      </c>
      <c r="D126" s="87">
        <f t="shared" si="62"/>
        <v>0</v>
      </c>
      <c r="E126" s="87">
        <f t="shared" si="63"/>
        <v>0</v>
      </c>
    </row>
    <row r="127" spans="1:6" hidden="1" outlineLevel="1" x14ac:dyDescent="0.25">
      <c r="A127" s="86">
        <v>5</v>
      </c>
      <c r="B127" s="87">
        <f t="shared" si="61"/>
        <v>0</v>
      </c>
      <c r="C127" s="87">
        <f>ROUND(E126*$B$23/12,2)</f>
        <v>0</v>
      </c>
      <c r="D127" s="87">
        <f t="shared" si="62"/>
        <v>0</v>
      </c>
      <c r="E127" s="87">
        <f t="shared" si="63"/>
        <v>0</v>
      </c>
    </row>
    <row r="128" spans="1:6" hidden="1" outlineLevel="1" x14ac:dyDescent="0.25">
      <c r="A128" s="86">
        <v>6</v>
      </c>
      <c r="B128" s="87">
        <f t="shared" si="61"/>
        <v>0</v>
      </c>
      <c r="C128" s="87">
        <f t="shared" ref="C128:C158" si="64">ROUND(E127*$B$23/12,2)</f>
        <v>0</v>
      </c>
      <c r="D128" s="87">
        <f t="shared" si="62"/>
        <v>0</v>
      </c>
      <c r="E128" s="87">
        <f t="shared" si="63"/>
        <v>0</v>
      </c>
    </row>
    <row r="129" spans="1:5" hidden="1" outlineLevel="1" x14ac:dyDescent="0.25">
      <c r="A129" s="86">
        <v>7</v>
      </c>
      <c r="B129" s="87">
        <f t="shared" si="61"/>
        <v>0</v>
      </c>
      <c r="C129" s="87">
        <f t="shared" si="64"/>
        <v>0</v>
      </c>
      <c r="D129" s="87">
        <f t="shared" si="62"/>
        <v>0</v>
      </c>
      <c r="E129" s="87">
        <f t="shared" si="63"/>
        <v>0</v>
      </c>
    </row>
    <row r="130" spans="1:5" hidden="1" outlineLevel="1" x14ac:dyDescent="0.25">
      <c r="A130" s="86">
        <v>8</v>
      </c>
      <c r="B130" s="87">
        <f t="shared" si="61"/>
        <v>0</v>
      </c>
      <c r="C130" s="87">
        <f>ROUND(E129*$B$23/12,2)</f>
        <v>0</v>
      </c>
      <c r="D130" s="87">
        <f t="shared" si="62"/>
        <v>0</v>
      </c>
      <c r="E130" s="87">
        <f t="shared" si="63"/>
        <v>0</v>
      </c>
    </row>
    <row r="131" spans="1:5" hidden="1" outlineLevel="1" x14ac:dyDescent="0.25">
      <c r="A131" s="86">
        <v>9</v>
      </c>
      <c r="B131" s="87">
        <f t="shared" si="61"/>
        <v>0</v>
      </c>
      <c r="C131" s="87">
        <f t="shared" si="64"/>
        <v>0</v>
      </c>
      <c r="D131" s="87">
        <f t="shared" si="62"/>
        <v>0</v>
      </c>
      <c r="E131" s="87">
        <f t="shared" si="63"/>
        <v>0</v>
      </c>
    </row>
    <row r="132" spans="1:5" hidden="1" outlineLevel="1" x14ac:dyDescent="0.25">
      <c r="A132" s="86">
        <v>10</v>
      </c>
      <c r="B132" s="87">
        <f t="shared" si="61"/>
        <v>0</v>
      </c>
      <c r="C132" s="87">
        <f t="shared" si="64"/>
        <v>0</v>
      </c>
      <c r="D132" s="87">
        <f t="shared" si="62"/>
        <v>0</v>
      </c>
      <c r="E132" s="87">
        <f t="shared" si="63"/>
        <v>0</v>
      </c>
    </row>
    <row r="133" spans="1:5" hidden="1" outlineLevel="1" x14ac:dyDescent="0.25">
      <c r="A133" s="86">
        <v>11</v>
      </c>
      <c r="B133" s="87">
        <f t="shared" si="61"/>
        <v>0</v>
      </c>
      <c r="C133" s="87">
        <f t="shared" si="64"/>
        <v>0</v>
      </c>
      <c r="D133" s="87">
        <f t="shared" si="62"/>
        <v>0</v>
      </c>
      <c r="E133" s="87">
        <f>E132-B133</f>
        <v>0</v>
      </c>
    </row>
    <row r="134" spans="1:5" hidden="1" outlineLevel="1" x14ac:dyDescent="0.25">
      <c r="A134" s="86">
        <v>12</v>
      </c>
      <c r="B134" s="87">
        <f t="shared" si="61"/>
        <v>0</v>
      </c>
      <c r="C134" s="87">
        <f t="shared" si="64"/>
        <v>0</v>
      </c>
      <c r="D134" s="87">
        <f t="shared" si="62"/>
        <v>0</v>
      </c>
      <c r="E134" s="87">
        <f>E133-B134</f>
        <v>0</v>
      </c>
    </row>
    <row r="135" spans="1:5" hidden="1" outlineLevel="1" x14ac:dyDescent="0.25">
      <c r="A135" s="86">
        <v>13</v>
      </c>
      <c r="B135" s="87">
        <f t="shared" si="61"/>
        <v>0</v>
      </c>
      <c r="C135" s="87">
        <f t="shared" si="64"/>
        <v>0</v>
      </c>
      <c r="D135" s="87">
        <f t="shared" si="62"/>
        <v>0</v>
      </c>
      <c r="E135" s="87">
        <f t="shared" ref="E135:E145" si="65">E134-B135</f>
        <v>0</v>
      </c>
    </row>
    <row r="136" spans="1:5" hidden="1" outlineLevel="1" x14ac:dyDescent="0.25">
      <c r="A136" s="86">
        <v>14</v>
      </c>
      <c r="B136" s="87">
        <f t="shared" si="61"/>
        <v>0</v>
      </c>
      <c r="C136" s="87">
        <f t="shared" si="64"/>
        <v>0</v>
      </c>
      <c r="D136" s="87">
        <f t="shared" si="62"/>
        <v>0</v>
      </c>
      <c r="E136" s="87">
        <f t="shared" si="65"/>
        <v>0</v>
      </c>
    </row>
    <row r="137" spans="1:5" hidden="1" outlineLevel="1" x14ac:dyDescent="0.25">
      <c r="A137" s="86">
        <v>15</v>
      </c>
      <c r="B137" s="87">
        <f t="shared" si="61"/>
        <v>0</v>
      </c>
      <c r="C137" s="87">
        <f t="shared" si="64"/>
        <v>0</v>
      </c>
      <c r="D137" s="87">
        <f t="shared" si="62"/>
        <v>0</v>
      </c>
      <c r="E137" s="87">
        <f t="shared" si="65"/>
        <v>0</v>
      </c>
    </row>
    <row r="138" spans="1:5" hidden="1" outlineLevel="1" x14ac:dyDescent="0.25">
      <c r="A138" s="86">
        <v>16</v>
      </c>
      <c r="B138" s="87">
        <f t="shared" si="61"/>
        <v>0</v>
      </c>
      <c r="C138" s="87">
        <f t="shared" si="64"/>
        <v>0</v>
      </c>
      <c r="D138" s="87">
        <f t="shared" si="62"/>
        <v>0</v>
      </c>
      <c r="E138" s="87">
        <f t="shared" si="65"/>
        <v>0</v>
      </c>
    </row>
    <row r="139" spans="1:5" hidden="1" outlineLevel="1" x14ac:dyDescent="0.25">
      <c r="A139" s="86">
        <v>17</v>
      </c>
      <c r="B139" s="87">
        <f t="shared" si="61"/>
        <v>0</v>
      </c>
      <c r="C139" s="87">
        <f t="shared" si="64"/>
        <v>0</v>
      </c>
      <c r="D139" s="87">
        <f t="shared" si="62"/>
        <v>0</v>
      </c>
      <c r="E139" s="87">
        <f t="shared" si="65"/>
        <v>0</v>
      </c>
    </row>
    <row r="140" spans="1:5" hidden="1" outlineLevel="1" x14ac:dyDescent="0.25">
      <c r="A140" s="86">
        <v>18</v>
      </c>
      <c r="B140" s="87">
        <f t="shared" si="61"/>
        <v>0</v>
      </c>
      <c r="C140" s="87">
        <f t="shared" si="64"/>
        <v>0</v>
      </c>
      <c r="D140" s="87">
        <f t="shared" si="62"/>
        <v>0</v>
      </c>
      <c r="E140" s="87">
        <f t="shared" si="65"/>
        <v>0</v>
      </c>
    </row>
    <row r="141" spans="1:5" hidden="1" outlineLevel="1" x14ac:dyDescent="0.25">
      <c r="A141" s="86">
        <v>19</v>
      </c>
      <c r="B141" s="87">
        <f t="shared" si="61"/>
        <v>0</v>
      </c>
      <c r="C141" s="87">
        <f t="shared" si="64"/>
        <v>0</v>
      </c>
      <c r="D141" s="87">
        <f t="shared" si="62"/>
        <v>0</v>
      </c>
      <c r="E141" s="87">
        <f t="shared" si="65"/>
        <v>0</v>
      </c>
    </row>
    <row r="142" spans="1:5" hidden="1" outlineLevel="1" x14ac:dyDescent="0.25">
      <c r="A142" s="86">
        <v>20</v>
      </c>
      <c r="B142" s="87">
        <f t="shared" si="61"/>
        <v>0</v>
      </c>
      <c r="C142" s="87">
        <f t="shared" si="64"/>
        <v>0</v>
      </c>
      <c r="D142" s="87">
        <f t="shared" si="62"/>
        <v>0</v>
      </c>
      <c r="E142" s="87">
        <f t="shared" si="65"/>
        <v>0</v>
      </c>
    </row>
    <row r="143" spans="1:5" hidden="1" outlineLevel="1" x14ac:dyDescent="0.25">
      <c r="A143" s="86">
        <v>21</v>
      </c>
      <c r="B143" s="87">
        <f t="shared" si="61"/>
        <v>0</v>
      </c>
      <c r="C143" s="87">
        <f t="shared" si="64"/>
        <v>0</v>
      </c>
      <c r="D143" s="87">
        <f t="shared" si="62"/>
        <v>0</v>
      </c>
      <c r="E143" s="87">
        <f t="shared" si="65"/>
        <v>0</v>
      </c>
    </row>
    <row r="144" spans="1:5" hidden="1" outlineLevel="1" x14ac:dyDescent="0.25">
      <c r="A144" s="86">
        <v>22</v>
      </c>
      <c r="B144" s="87">
        <f t="shared" si="61"/>
        <v>0</v>
      </c>
      <c r="C144" s="87">
        <f t="shared" si="64"/>
        <v>0</v>
      </c>
      <c r="D144" s="87">
        <f t="shared" si="62"/>
        <v>0</v>
      </c>
      <c r="E144" s="87">
        <f t="shared" si="65"/>
        <v>0</v>
      </c>
    </row>
    <row r="145" spans="1:5" hidden="1" outlineLevel="1" x14ac:dyDescent="0.25">
      <c r="A145" s="86">
        <v>23</v>
      </c>
      <c r="B145" s="87">
        <f t="shared" si="61"/>
        <v>0</v>
      </c>
      <c r="C145" s="87">
        <f t="shared" si="64"/>
        <v>0</v>
      </c>
      <c r="D145" s="87">
        <f t="shared" si="62"/>
        <v>0</v>
      </c>
      <c r="E145" s="87">
        <f t="shared" si="65"/>
        <v>0</v>
      </c>
    </row>
    <row r="146" spans="1:5" hidden="1" outlineLevel="1" x14ac:dyDescent="0.25">
      <c r="A146" s="86">
        <v>24</v>
      </c>
      <c r="B146" s="87">
        <f t="shared" si="61"/>
        <v>0</v>
      </c>
      <c r="C146" s="87">
        <f t="shared" si="64"/>
        <v>0</v>
      </c>
      <c r="D146" s="87">
        <f t="shared" si="62"/>
        <v>0</v>
      </c>
      <c r="E146" s="87">
        <f>E145-B146</f>
        <v>0</v>
      </c>
    </row>
    <row r="147" spans="1:5" hidden="1" outlineLevel="1" x14ac:dyDescent="0.25">
      <c r="A147" s="86">
        <v>25</v>
      </c>
      <c r="B147" s="87">
        <f t="shared" si="61"/>
        <v>0</v>
      </c>
      <c r="C147" s="87">
        <f t="shared" si="64"/>
        <v>0</v>
      </c>
      <c r="D147" s="87">
        <f t="shared" si="62"/>
        <v>0</v>
      </c>
      <c r="E147" s="87">
        <f t="shared" ref="E147:E157" si="66">E146-B147</f>
        <v>0</v>
      </c>
    </row>
    <row r="148" spans="1:5" hidden="1" outlineLevel="1" x14ac:dyDescent="0.25">
      <c r="A148" s="86">
        <v>26</v>
      </c>
      <c r="B148" s="87">
        <f t="shared" si="61"/>
        <v>0</v>
      </c>
      <c r="C148" s="87">
        <f t="shared" si="64"/>
        <v>0</v>
      </c>
      <c r="D148" s="87">
        <f t="shared" si="62"/>
        <v>0</v>
      </c>
      <c r="E148" s="87">
        <f t="shared" si="66"/>
        <v>0</v>
      </c>
    </row>
    <row r="149" spans="1:5" hidden="1" outlineLevel="1" x14ac:dyDescent="0.25">
      <c r="A149" s="86">
        <v>27</v>
      </c>
      <c r="B149" s="87">
        <f t="shared" si="61"/>
        <v>0</v>
      </c>
      <c r="C149" s="87">
        <f t="shared" si="64"/>
        <v>0</v>
      </c>
      <c r="D149" s="87">
        <f t="shared" si="62"/>
        <v>0</v>
      </c>
      <c r="E149" s="87">
        <f t="shared" si="66"/>
        <v>0</v>
      </c>
    </row>
    <row r="150" spans="1:5" hidden="1" outlineLevel="1" x14ac:dyDescent="0.25">
      <c r="A150" s="86">
        <v>28</v>
      </c>
      <c r="B150" s="87">
        <f t="shared" si="61"/>
        <v>0</v>
      </c>
      <c r="C150" s="87">
        <f t="shared" si="64"/>
        <v>0</v>
      </c>
      <c r="D150" s="87">
        <f t="shared" si="62"/>
        <v>0</v>
      </c>
      <c r="E150" s="87">
        <f t="shared" si="66"/>
        <v>0</v>
      </c>
    </row>
    <row r="151" spans="1:5" hidden="1" outlineLevel="1" x14ac:dyDescent="0.25">
      <c r="A151" s="86">
        <v>29</v>
      </c>
      <c r="B151" s="87">
        <f t="shared" si="61"/>
        <v>0</v>
      </c>
      <c r="C151" s="87">
        <f t="shared" si="64"/>
        <v>0</v>
      </c>
      <c r="D151" s="87">
        <f t="shared" si="62"/>
        <v>0</v>
      </c>
      <c r="E151" s="87">
        <f t="shared" si="66"/>
        <v>0</v>
      </c>
    </row>
    <row r="152" spans="1:5" hidden="1" outlineLevel="1" x14ac:dyDescent="0.25">
      <c r="A152" s="86">
        <v>30</v>
      </c>
      <c r="B152" s="87">
        <f t="shared" si="61"/>
        <v>0</v>
      </c>
      <c r="C152" s="87">
        <f t="shared" si="64"/>
        <v>0</v>
      </c>
      <c r="D152" s="87">
        <f t="shared" si="62"/>
        <v>0</v>
      </c>
      <c r="E152" s="87">
        <f t="shared" si="66"/>
        <v>0</v>
      </c>
    </row>
    <row r="153" spans="1:5" hidden="1" outlineLevel="1" x14ac:dyDescent="0.25">
      <c r="A153" s="86">
        <v>31</v>
      </c>
      <c r="B153" s="87">
        <f t="shared" si="61"/>
        <v>0</v>
      </c>
      <c r="C153" s="87">
        <f t="shared" si="64"/>
        <v>0</v>
      </c>
      <c r="D153" s="87">
        <f t="shared" si="62"/>
        <v>0</v>
      </c>
      <c r="E153" s="87">
        <f t="shared" si="66"/>
        <v>0</v>
      </c>
    </row>
    <row r="154" spans="1:5" hidden="1" outlineLevel="1" x14ac:dyDescent="0.25">
      <c r="A154" s="86">
        <v>32</v>
      </c>
      <c r="B154" s="87">
        <f t="shared" si="61"/>
        <v>0</v>
      </c>
      <c r="C154" s="87">
        <f t="shared" si="64"/>
        <v>0</v>
      </c>
      <c r="D154" s="87">
        <f t="shared" si="62"/>
        <v>0</v>
      </c>
      <c r="E154" s="87">
        <f t="shared" si="66"/>
        <v>0</v>
      </c>
    </row>
    <row r="155" spans="1:5" hidden="1" outlineLevel="1" x14ac:dyDescent="0.25">
      <c r="A155" s="86">
        <v>33</v>
      </c>
      <c r="B155" s="87">
        <f t="shared" si="61"/>
        <v>0</v>
      </c>
      <c r="C155" s="87">
        <f t="shared" si="64"/>
        <v>0</v>
      </c>
      <c r="D155" s="87">
        <f t="shared" si="62"/>
        <v>0</v>
      </c>
      <c r="E155" s="87">
        <f t="shared" si="66"/>
        <v>0</v>
      </c>
    </row>
    <row r="156" spans="1:5" hidden="1" outlineLevel="1" x14ac:dyDescent="0.25">
      <c r="A156" s="86">
        <v>34</v>
      </c>
      <c r="B156" s="87">
        <f t="shared" si="61"/>
        <v>0</v>
      </c>
      <c r="C156" s="87">
        <f t="shared" si="64"/>
        <v>0</v>
      </c>
      <c r="D156" s="87">
        <f t="shared" si="62"/>
        <v>0</v>
      </c>
      <c r="E156" s="87">
        <f t="shared" si="66"/>
        <v>0</v>
      </c>
    </row>
    <row r="157" spans="1:5" hidden="1" outlineLevel="1" x14ac:dyDescent="0.25">
      <c r="A157" s="86">
        <v>35</v>
      </c>
      <c r="B157" s="87">
        <f t="shared" si="61"/>
        <v>0</v>
      </c>
      <c r="C157" s="87">
        <f t="shared" si="64"/>
        <v>0</v>
      </c>
      <c r="D157" s="87">
        <f t="shared" si="62"/>
        <v>0</v>
      </c>
      <c r="E157" s="87">
        <f t="shared" si="66"/>
        <v>0</v>
      </c>
    </row>
    <row r="158" spans="1:5" hidden="1" outlineLevel="1" x14ac:dyDescent="0.25">
      <c r="A158" s="86">
        <v>36</v>
      </c>
      <c r="B158" s="87">
        <f t="shared" si="61"/>
        <v>0</v>
      </c>
      <c r="C158" s="87">
        <f t="shared" si="64"/>
        <v>0</v>
      </c>
      <c r="D158" s="87">
        <f t="shared" si="62"/>
        <v>0</v>
      </c>
      <c r="E158" s="87">
        <f>E157-B158</f>
        <v>0</v>
      </c>
    </row>
    <row r="159" spans="1:5" hidden="1" outlineLevel="1" x14ac:dyDescent="0.25">
      <c r="A159" s="88" t="s">
        <v>70</v>
      </c>
      <c r="B159" s="89">
        <f>SUM(B123:B158)</f>
        <v>0</v>
      </c>
      <c r="C159" s="89">
        <f t="shared" ref="C159:D159" si="67">SUM(C123:C158)</f>
        <v>0</v>
      </c>
      <c r="D159" s="89">
        <f t="shared" si="67"/>
        <v>0</v>
      </c>
      <c r="E159" s="90"/>
    </row>
    <row r="160" spans="1:5" hidden="1" outlineLevel="1" x14ac:dyDescent="0.25"/>
    <row r="161" spans="1:4" hidden="1" x14ac:dyDescent="0.25"/>
    <row r="162" spans="1:4" hidden="1" outlineLevel="1" x14ac:dyDescent="0.25"/>
    <row r="163" spans="1:4" outlineLevel="1" x14ac:dyDescent="0.25"/>
    <row r="164" spans="1:4" outlineLevel="1" x14ac:dyDescent="0.25"/>
    <row r="165" spans="1:4" outlineLevel="1" x14ac:dyDescent="0.25"/>
    <row r="166" spans="1:4" outlineLevel="1" x14ac:dyDescent="0.25"/>
    <row r="167" spans="1:4" outlineLevel="1" x14ac:dyDescent="0.25"/>
    <row r="168" spans="1:4" outlineLevel="1" x14ac:dyDescent="0.25"/>
    <row r="173" spans="1:4" s="72" customFormat="1" outlineLevel="1" x14ac:dyDescent="0.25">
      <c r="A173" s="102"/>
      <c r="B173" s="102"/>
      <c r="C173" s="102"/>
      <c r="D173" s="102"/>
    </row>
    <row r="174" spans="1:4" outlineLevel="1" x14ac:dyDescent="0.25">
      <c r="A174" s="72"/>
      <c r="B174" s="103"/>
      <c r="C174" s="72"/>
      <c r="D174" s="72"/>
    </row>
    <row r="175" spans="1:4" outlineLevel="1" x14ac:dyDescent="0.25">
      <c r="A175" s="72"/>
      <c r="B175" s="103"/>
      <c r="C175" s="72"/>
      <c r="D175" s="72"/>
    </row>
    <row r="176" spans="1:4" outlineLevel="1" x14ac:dyDescent="0.25">
      <c r="A176" s="72"/>
      <c r="B176" s="103"/>
      <c r="C176" s="72"/>
      <c r="D176" s="72"/>
    </row>
    <row r="177" spans="1:4" outlineLevel="1" x14ac:dyDescent="0.25">
      <c r="A177" s="72"/>
      <c r="B177" s="103"/>
      <c r="C177" s="72"/>
      <c r="D177" s="72"/>
    </row>
    <row r="178" spans="1:4" outlineLevel="1" x14ac:dyDescent="0.25">
      <c r="A178" s="72"/>
      <c r="B178" s="103"/>
      <c r="C178" s="72"/>
      <c r="D178" s="72"/>
    </row>
    <row r="179" spans="1:4" outlineLevel="1" x14ac:dyDescent="0.25">
      <c r="A179" s="72"/>
      <c r="B179" s="103"/>
      <c r="C179" s="72"/>
      <c r="D179" s="72"/>
    </row>
    <row r="180" spans="1:4" outlineLevel="1" x14ac:dyDescent="0.25">
      <c r="A180" s="72"/>
      <c r="B180" s="103"/>
      <c r="C180" s="72"/>
      <c r="D180" s="72"/>
    </row>
    <row r="181" spans="1:4" outlineLevel="1" x14ac:dyDescent="0.25">
      <c r="A181" s="72"/>
      <c r="B181" s="103"/>
      <c r="C181" s="72"/>
      <c r="D181" s="72"/>
    </row>
    <row r="182" spans="1:4" outlineLevel="1" x14ac:dyDescent="0.25">
      <c r="A182" s="72"/>
      <c r="B182" s="103"/>
      <c r="C182" s="72"/>
      <c r="D182" s="72"/>
    </row>
    <row r="183" spans="1:4" outlineLevel="1" x14ac:dyDescent="0.25">
      <c r="A183" s="72"/>
      <c r="B183" s="103"/>
      <c r="C183" s="72"/>
      <c r="D183" s="72"/>
    </row>
    <row r="184" spans="1:4" outlineLevel="1" x14ac:dyDescent="0.25">
      <c r="A184" s="72"/>
      <c r="B184" s="103"/>
      <c r="C184" s="72"/>
      <c r="D184" s="72"/>
    </row>
    <row r="185" spans="1:4" outlineLevel="1" x14ac:dyDescent="0.25">
      <c r="A185" s="72"/>
      <c r="B185" s="103"/>
      <c r="C185" s="72"/>
      <c r="D185" s="72"/>
    </row>
    <row r="186" spans="1:4" outlineLevel="1" x14ac:dyDescent="0.25">
      <c r="A186" s="72"/>
      <c r="B186" s="103"/>
      <c r="C186" s="72"/>
      <c r="D186" s="72"/>
    </row>
    <row r="187" spans="1:4" outlineLevel="1" x14ac:dyDescent="0.25">
      <c r="A187" s="72"/>
      <c r="B187" s="103"/>
      <c r="C187" s="72"/>
      <c r="D187" s="72"/>
    </row>
    <row r="188" spans="1:4" outlineLevel="1" x14ac:dyDescent="0.25">
      <c r="A188" s="72"/>
      <c r="B188" s="103"/>
      <c r="C188" s="72"/>
      <c r="D188" s="72"/>
    </row>
    <row r="189" spans="1:4" outlineLevel="1" x14ac:dyDescent="0.25">
      <c r="A189" s="72"/>
      <c r="B189" s="103"/>
      <c r="C189" s="72"/>
      <c r="D189" s="72"/>
    </row>
    <row r="190" spans="1:4" outlineLevel="1" x14ac:dyDescent="0.25">
      <c r="A190" s="72"/>
      <c r="B190" s="103"/>
      <c r="C190" s="72"/>
      <c r="D190" s="72"/>
    </row>
    <row r="191" spans="1:4" outlineLevel="1" x14ac:dyDescent="0.25">
      <c r="A191" s="72"/>
      <c r="B191" s="103"/>
      <c r="C191" s="72"/>
      <c r="D191" s="72"/>
    </row>
    <row r="192" spans="1:4" outlineLevel="1" x14ac:dyDescent="0.25">
      <c r="A192" s="72"/>
      <c r="B192" s="103"/>
      <c r="C192" s="72"/>
      <c r="D192" s="72"/>
    </row>
    <row r="193" spans="1:4" outlineLevel="1" x14ac:dyDescent="0.25">
      <c r="A193" s="72"/>
      <c r="B193" s="103"/>
      <c r="C193" s="72"/>
      <c r="D193" s="72"/>
    </row>
    <row r="194" spans="1:4" outlineLevel="1" x14ac:dyDescent="0.25">
      <c r="A194" s="72"/>
      <c r="B194" s="103"/>
      <c r="C194" s="72"/>
      <c r="D194" s="72"/>
    </row>
  </sheetData>
  <sheetProtection algorithmName="SHA-512" hashValue="g23UBah1JJ4XTa+a89kjGSgB7CLO6st+gfYGOiI6U86BArDFWQ2viOeY0QpH5KJayYXlJQI2X+mGZsza/LIvcA==" saltValue="fRWePjN2KKnCDUeMdFWGnQ==" spinCount="100000" sheet="1" objects="1" scenarios="1" selectLockedCells="1" selectUnlockedCells="1"/>
  <mergeCells count="50">
    <mergeCell ref="AA63:AL63"/>
    <mergeCell ref="O63:Z63"/>
    <mergeCell ref="C63:N63"/>
    <mergeCell ref="A63:B64"/>
    <mergeCell ref="A65:B65"/>
    <mergeCell ref="F76:I76"/>
    <mergeCell ref="A72:B72"/>
    <mergeCell ref="A55:B55"/>
    <mergeCell ref="A66:B66"/>
    <mergeCell ref="A68:B68"/>
    <mergeCell ref="A67:B67"/>
    <mergeCell ref="A56:B56"/>
    <mergeCell ref="A70:B70"/>
    <mergeCell ref="A71:B71"/>
    <mergeCell ref="A69:B69"/>
    <mergeCell ref="A121:F121"/>
    <mergeCell ref="A100:B100"/>
    <mergeCell ref="A118:B118"/>
    <mergeCell ref="A117:B117"/>
    <mergeCell ref="A116:B116"/>
    <mergeCell ref="A115:B115"/>
    <mergeCell ref="A114:B114"/>
    <mergeCell ref="A113:B113"/>
    <mergeCell ref="A112:B112"/>
    <mergeCell ref="A111:B111"/>
    <mergeCell ref="J76:M76"/>
    <mergeCell ref="A76:A77"/>
    <mergeCell ref="A29:A30"/>
    <mergeCell ref="B39:B40"/>
    <mergeCell ref="A39:A40"/>
    <mergeCell ref="A50:B51"/>
    <mergeCell ref="C29:N29"/>
    <mergeCell ref="B29:B30"/>
    <mergeCell ref="A60:B60"/>
    <mergeCell ref="A59:B59"/>
    <mergeCell ref="A58:B58"/>
    <mergeCell ref="A57:B57"/>
    <mergeCell ref="C39:N39"/>
    <mergeCell ref="A53:B53"/>
    <mergeCell ref="A52:B52"/>
    <mergeCell ref="B76:E76"/>
    <mergeCell ref="A54:B54"/>
    <mergeCell ref="C50:N50"/>
    <mergeCell ref="O50:Z50"/>
    <mergeCell ref="AA50:AL50"/>
    <mergeCell ref="A3:B3"/>
    <mergeCell ref="O29:Z29"/>
    <mergeCell ref="AA29:AL29"/>
    <mergeCell ref="O39:Z39"/>
    <mergeCell ref="AA39:AL39"/>
  </mergeCells>
  <phoneticPr fontId="7" type="noConversion"/>
  <dataValidations count="2">
    <dataValidation type="list" allowBlank="1" showInputMessage="1" showErrorMessage="1" sqref="B8" xr:uid="{00000000-0002-0000-0000-000000000000}">
      <formula1>Налоги</formula1>
    </dataValidation>
    <dataValidation type="list" allowBlank="1" showInputMessage="1" showErrorMessage="1" sqref="B9:B10" xr:uid="{00000000-0002-0000-0000-000001000000}">
      <formula1>$A$93:$A$97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Q307"/>
  <sheetViews>
    <sheetView showGridLines="0" tabSelected="1" zoomScale="85" zoomScaleNormal="85" workbookViewId="0">
      <pane xSplit="1" topLeftCell="B1" activePane="topRight" state="frozen"/>
      <selection activeCell="A29" sqref="A29"/>
      <selection pane="topRight" activeCell="Q28" sqref="Q28"/>
    </sheetView>
  </sheetViews>
  <sheetFormatPr defaultColWidth="9.140625" defaultRowHeight="15" outlineLevelRow="1" x14ac:dyDescent="0.25"/>
  <cols>
    <col min="1" max="1" width="38.5703125" style="2" customWidth="1"/>
    <col min="2" max="2" width="15.5703125" style="2" customWidth="1"/>
    <col min="3" max="3" width="13" style="2" bestFit="1" customWidth="1"/>
    <col min="4" max="4" width="13.42578125" style="2" bestFit="1" customWidth="1"/>
    <col min="5" max="5" width="14.5703125" style="2" customWidth="1"/>
    <col min="6" max="6" width="15.7109375" style="2" bestFit="1" customWidth="1"/>
    <col min="7" max="7" width="14.85546875" style="2" customWidth="1"/>
    <col min="8" max="8" width="15.5703125" style="2" customWidth="1"/>
    <col min="9" max="9" width="15.7109375" style="2" customWidth="1"/>
    <col min="10" max="10" width="15.28515625" style="2" customWidth="1"/>
    <col min="11" max="11" width="17.140625" style="2" bestFit="1" customWidth="1"/>
    <col min="12" max="12" width="15.28515625" style="2" customWidth="1"/>
    <col min="13" max="13" width="15.7109375" style="2" customWidth="1"/>
    <col min="14" max="15" width="14.7109375" style="2" customWidth="1"/>
    <col min="16" max="16" width="17.7109375" style="2" customWidth="1"/>
    <col min="17" max="17" width="17.28515625" style="2" customWidth="1"/>
    <col min="18" max="16384" width="9.140625" style="2"/>
  </cols>
  <sheetData>
    <row r="2" spans="1:17" ht="15.75" thickBot="1" x14ac:dyDescent="0.3">
      <c r="A2" s="1" t="s">
        <v>222</v>
      </c>
    </row>
    <row r="3" spans="1:17" x14ac:dyDescent="0.25">
      <c r="A3" s="256" t="s">
        <v>107</v>
      </c>
      <c r="B3" s="255" t="s">
        <v>83</v>
      </c>
      <c r="C3" s="252"/>
      <c r="D3" s="252"/>
      <c r="E3" s="258"/>
      <c r="F3" s="256" t="s">
        <v>84</v>
      </c>
      <c r="G3" s="255" t="s">
        <v>85</v>
      </c>
      <c r="H3" s="252"/>
      <c r="I3" s="252"/>
      <c r="J3" s="258"/>
      <c r="K3" s="256" t="s">
        <v>87</v>
      </c>
      <c r="L3" s="255" t="s">
        <v>86</v>
      </c>
      <c r="M3" s="252"/>
      <c r="N3" s="252"/>
      <c r="O3" s="252"/>
      <c r="P3" s="259" t="s">
        <v>88</v>
      </c>
      <c r="Q3" s="256" t="s">
        <v>89</v>
      </c>
    </row>
    <row r="4" spans="1:17" x14ac:dyDescent="0.25">
      <c r="A4" s="257"/>
      <c r="B4" s="116" t="s">
        <v>79</v>
      </c>
      <c r="C4" s="4" t="s">
        <v>80</v>
      </c>
      <c r="D4" s="4" t="s">
        <v>81</v>
      </c>
      <c r="E4" s="112" t="s">
        <v>82</v>
      </c>
      <c r="F4" s="257"/>
      <c r="G4" s="116" t="s">
        <v>79</v>
      </c>
      <c r="H4" s="4" t="s">
        <v>80</v>
      </c>
      <c r="I4" s="4" t="s">
        <v>81</v>
      </c>
      <c r="J4" s="112" t="s">
        <v>82</v>
      </c>
      <c r="K4" s="257"/>
      <c r="L4" s="116" t="s">
        <v>79</v>
      </c>
      <c r="M4" s="4" t="s">
        <v>80</v>
      </c>
      <c r="N4" s="4" t="s">
        <v>81</v>
      </c>
      <c r="O4" s="4" t="s">
        <v>82</v>
      </c>
      <c r="P4" s="260"/>
      <c r="Q4" s="257"/>
    </row>
    <row r="5" spans="1:17" ht="31.5" x14ac:dyDescent="0.25">
      <c r="A5" s="153" t="s">
        <v>203</v>
      </c>
      <c r="B5" s="134">
        <f>'Данные Заявителя'!$B$12*SUM('Данные Заявителя'!C31:E31)+'Данные Заявителя'!$B$13*SUM('Данные Заявителя'!C32:E32)+'Данные Заявителя'!$B$14*SUM('Данные Заявителя'!C33:E33)+'Данные Заявителя'!$B$15*SUM('Данные Заявителя'!C34:E34)+'Данные Заявителя'!$B$16*SUM('Данные Заявителя'!C35:E35)</f>
        <v>0</v>
      </c>
      <c r="C5" s="5">
        <f>'Данные Заявителя'!$B$12*SUM('Данные Заявителя'!F31:H31)+'Данные Заявителя'!$B$13*SUM('Данные Заявителя'!F32:H32)+'Данные Заявителя'!$B$14*SUM('Данные Заявителя'!F33:H33)+'Данные Заявителя'!$B$15*SUM('Данные Заявителя'!F34:H34)+'Данные Заявителя'!$B$16*SUM('Данные Заявителя'!F35:H35)</f>
        <v>0</v>
      </c>
      <c r="D5" s="5">
        <f>'Данные Заявителя'!$B$12*SUM('Данные Заявителя'!I31:K31)+'Данные Заявителя'!$B$13*SUM('Данные Заявителя'!I32:K32)+'Данные Заявителя'!$B$14*SUM('Данные Заявителя'!I33:K33)+'Данные Заявителя'!$B$15*SUM('Данные Заявителя'!I34:K34)+'Данные Заявителя'!$B$16*SUM('Данные Заявителя'!I35:K35)</f>
        <v>0</v>
      </c>
      <c r="E5" s="129">
        <f>'Данные Заявителя'!$B$12*SUM('Данные Заявителя'!L31:N31)+'Данные Заявителя'!$B$13*SUM('Данные Заявителя'!L32:N32)+'Данные Заявителя'!$B$14*SUM('Данные Заявителя'!L33:N33)+'Данные Заявителя'!$B$15*SUM('Данные Заявителя'!L34:N34)+'Данные Заявителя'!$B$16*SUM('Данные Заявителя'!L35:N35)</f>
        <v>0</v>
      </c>
      <c r="F5" s="139">
        <f>SUM(B5:E5)</f>
        <v>0</v>
      </c>
      <c r="G5" s="134">
        <f>('Данные Заявителя'!$B$12*SUM('Данные Заявителя'!O31:Q31)+'Данные Заявителя'!$B$13*SUM('Данные Заявителя'!O32:Q32)+'Данные Заявителя'!$B$14*SUM('Данные Заявителя'!O33:Q33)+'Данные Заявителя'!$B$15*SUM('Данные Заявителя'!O34:Q34)+'Данные Заявителя'!$B$16*SUM('Данные Заявителя'!O35:Q35))*(1+'Данные Заявителя'!$B$6)</f>
        <v>0</v>
      </c>
      <c r="H5" s="5">
        <f>('Данные Заявителя'!$B$12*SUM('Данные Заявителя'!R31:T31)+'Данные Заявителя'!$B$13*SUM('Данные Заявителя'!R32:T32)+'Данные Заявителя'!$B$14*SUM('Данные Заявителя'!R33:T33)+'Данные Заявителя'!$B$15*SUM('Данные Заявителя'!R34:T34)+'Данные Заявителя'!$B$16*SUM('Данные Заявителя'!R35:T35))*(1+'Данные Заявителя'!$B$6)</f>
        <v>0</v>
      </c>
      <c r="I5" s="5">
        <f>('Данные Заявителя'!$B$12*SUM('Данные Заявителя'!U31:W31)+'Данные Заявителя'!$B$13*SUM('Данные Заявителя'!U32:W32)+'Данные Заявителя'!$B$14*SUM('Данные Заявителя'!U33:W33)+'Данные Заявителя'!$B$15*SUM('Данные Заявителя'!U34:W34)+'Данные Заявителя'!$B$16*SUM('Данные Заявителя'!U35:W35))*(1+'Данные Заявителя'!$B$6)</f>
        <v>0</v>
      </c>
      <c r="J5" s="129">
        <f>('Данные Заявителя'!$B$12*SUM('Данные Заявителя'!X31:Z31)+'Данные Заявителя'!$B$13*SUM('Данные Заявителя'!X32:Z32)+'Данные Заявителя'!$B$14*SUM('Данные Заявителя'!X33:Z33)+'Данные Заявителя'!$B$15*SUM('Данные Заявителя'!X34:Z34)+'Данные Заявителя'!$B$16*SUM('Данные Заявителя'!X35:Z35))*(1+'Данные Заявителя'!$B$6)</f>
        <v>0</v>
      </c>
      <c r="K5" s="139">
        <f>SUM(G5:J5)</f>
        <v>0</v>
      </c>
      <c r="L5" s="134">
        <f>('Данные Заявителя'!$B$12*SUM('Данные Заявителя'!AA31:AC31)+'Данные Заявителя'!$B$13*SUM('Данные Заявителя'!AA32:AC32)+'Данные Заявителя'!$B$14*SUM('Данные Заявителя'!AA33:AC33)+'Данные Заявителя'!$B$15*SUM('Данные Заявителя'!AA34:AC34)+'Данные Заявителя'!$B$16*SUM('Данные Заявителя'!AA35:AC35))*(1+'Данные Заявителя'!$B$6)^2</f>
        <v>0</v>
      </c>
      <c r="M5" s="5">
        <f>('Данные Заявителя'!$B$12*SUM('Данные Заявителя'!AD31:AF31)+'Данные Заявителя'!$B$13*SUM('Данные Заявителя'!AD32:AF32)+'Данные Заявителя'!$B$14*SUM('Данные Заявителя'!AD33:AF33)+'Данные Заявителя'!$B$15*SUM('Данные Заявителя'!AD34:AF34)+'Данные Заявителя'!$B$16*SUM('Данные Заявителя'!AD35:AF35))*(1+'Данные Заявителя'!$B$6)^2</f>
        <v>0</v>
      </c>
      <c r="N5" s="5">
        <f>('Данные Заявителя'!$B$12*SUM('Данные Заявителя'!AG31:AI31)+'Данные Заявителя'!$B$13*SUM('Данные Заявителя'!AG32:AI32)+'Данные Заявителя'!$B$14*SUM('Данные Заявителя'!AG33:AI33)+'Данные Заявителя'!$B$15*SUM('Данные Заявителя'!AG34:AI34)+'Данные Заявителя'!$B$16*SUM('Данные Заявителя'!AG35:AI35))*(1+'Данные Заявителя'!$B$6)^2</f>
        <v>0</v>
      </c>
      <c r="O5" s="5">
        <f>('Данные Заявителя'!$B$12*SUM('Данные Заявителя'!AJ31:AL31)+'Данные Заявителя'!$B$13*SUM('Данные Заявителя'!AJ32:AL32)+'Данные Заявителя'!$B$14*SUM('Данные Заявителя'!AJ33:AL33)+'Данные Заявителя'!$B$15*SUM('Данные Заявителя'!AJ34:AL34)+'Данные Заявителя'!$B$16*SUM('Данные Заявителя'!AJ35:AL35))*(1+'Данные Заявителя'!$B$6)^2</f>
        <v>0</v>
      </c>
      <c r="P5" s="145">
        <f>SUM(L5:O5)</f>
        <v>0</v>
      </c>
      <c r="Q5" s="139">
        <f>F5+K5+P5</f>
        <v>0</v>
      </c>
    </row>
    <row r="6" spans="1:17" ht="15.75" x14ac:dyDescent="0.25">
      <c r="A6" s="153" t="s">
        <v>108</v>
      </c>
      <c r="B6" s="134">
        <f>'Данные Заявителя'!$B$41*SUM('Данные Заявителя'!C41:E41)+'Данные Заявителя'!$B$42*SUM('Данные Заявителя'!C42:E42)+'Данные Заявителя'!$B$43*SUM('Данные Заявителя'!C43:E43)+'Данные Заявителя'!$B$44*SUM('Данные Заявителя'!C44:E44)+'Данные Заявителя'!$B$45*SUM('Данные Заявителя'!C45:E45)+'Данные Заявителя'!$B$46*SUM('Данные Заявителя'!C46:E46)</f>
        <v>240000</v>
      </c>
      <c r="C6" s="5">
        <f>'Данные Заявителя'!$B$41*SUM('Данные Заявителя'!F41:H41)+'Данные Заявителя'!$B$42*SUM('Данные Заявителя'!F42:H42)+'Данные Заявителя'!$B$43*SUM('Данные Заявителя'!F43:H43)+'Данные Заявителя'!$B$44*SUM('Данные Заявителя'!F44:H44)+'Данные Заявителя'!$B$45*SUM('Данные Заявителя'!F45:H45)+'Данные Заявителя'!$B$46*SUM('Данные Заявителя'!F46:H46)</f>
        <v>630000</v>
      </c>
      <c r="D6" s="5">
        <f>'Данные Заявителя'!$B$41*SUM('Данные Заявителя'!I41:K41)+'Данные Заявителя'!$B$42*SUM('Данные Заявителя'!I42:K42)+'Данные Заявителя'!$B$43*SUM('Данные Заявителя'!I43:K43)+'Данные Заявителя'!$B$44*SUM('Данные Заявителя'!I44:K44)+'Данные Заявителя'!$B$45*SUM('Данные Заявителя'!I45:K45)+'Данные Заявителя'!$B$46*SUM('Данные Заявителя'!I46:K46)</f>
        <v>630000</v>
      </c>
      <c r="E6" s="129">
        <f>'Данные Заявителя'!$B$41*SUM('Данные Заявителя'!L41:N41)+'Данные Заявителя'!$B$42*SUM('Данные Заявителя'!L42:N42)+'Данные Заявителя'!$B$43*SUM('Данные Заявителя'!L43:N43)+'Данные Заявителя'!$B$44*SUM('Данные Заявителя'!L44:N44)+'Данные Заявителя'!$B$45*SUM('Данные Заявителя'!L45:N45)+'Данные Заявителя'!$B$46*SUM('Данные Заявителя'!L46:N46)</f>
        <v>630000</v>
      </c>
      <c r="F6" s="139">
        <f t="shared" ref="F6:F18" si="0">SUM(B6:E6)</f>
        <v>2130000</v>
      </c>
      <c r="G6" s="134">
        <f>('Данные Заявителя'!$B$41*SUM('Данные Заявителя'!O41:Q41)+'Данные Заявителя'!$B$42*SUM('Данные Заявителя'!O42:Q42)+'Данные Заявителя'!$B$43*SUM('Данные Заявителя'!O43:Q43)+'Данные Заявителя'!$B$44*SUM('Данные Заявителя'!O44:Q44)+'Данные Заявителя'!$B$45*SUM('Данные Заявителя'!O45:Q45)+'Данные Заявителя'!$B$46*SUM('Данные Заявителя'!O46:Q46))*('Данные Заявителя'!$B$7+1)</f>
        <v>748800</v>
      </c>
      <c r="H6" s="5">
        <f>('Данные Заявителя'!$B$41*SUM('Данные Заявителя'!R41:T41)+'Данные Заявителя'!$B$42*SUM('Данные Заявителя'!R42:T42)+'Данные Заявителя'!$B$43*SUM('Данные Заявителя'!R43:T43)+'Данные Заявителя'!$B$44*SUM('Данные Заявителя'!R44:T44)+'Данные Заявителя'!$B$45*SUM('Данные Заявителя'!R45:T45)+'Данные Заявителя'!$B$46*SUM('Данные Заявителя'!R46:T46))*('Данные Заявителя'!$B$7+1)</f>
        <v>748800</v>
      </c>
      <c r="I6" s="5">
        <f>('Данные Заявителя'!$B$41*SUM('Данные Заявителя'!U41:W41)+'Данные Заявителя'!$B$42*SUM('Данные Заявителя'!U42:W42)+'Данные Заявителя'!$B$43*SUM('Данные Заявителя'!U43:W43)+'Данные Заявителя'!$B$44*SUM('Данные Заявителя'!U44:W44)+'Данные Заявителя'!$B$45*SUM('Данные Заявителя'!U45:W45)+'Данные Заявителя'!$B$46*SUM('Данные Заявителя'!U46:W46))*('Данные Заявителя'!$B$7+1)</f>
        <v>748800</v>
      </c>
      <c r="J6" s="129">
        <f>('Данные Заявителя'!$B$41*SUM('Данные Заявителя'!X41:Z41)+'Данные Заявителя'!$B$42*SUM('Данные Заявителя'!X42:Z42)+'Данные Заявителя'!$B$43*SUM('Данные Заявителя'!X43:Z43)+'Данные Заявителя'!$B$44*SUM('Данные Заявителя'!X44:Z44)+'Данные Заявителя'!$B$45*SUM('Данные Заявителя'!X45:Z45)+'Данные Заявителя'!$B$46*SUM('Данные Заявителя'!X46:Z46))*('Данные Заявителя'!$B$7+1)</f>
        <v>748800</v>
      </c>
      <c r="K6" s="139">
        <f t="shared" ref="K6:K18" si="1">SUM(G6:J6)</f>
        <v>2995200</v>
      </c>
      <c r="L6" s="134">
        <f>('Данные Заявителя'!$B$41*SUM('Данные Заявителя'!AA41:AC41)+'Данные Заявителя'!$B$42*SUM('Данные Заявителя'!AA42:AC42)+'Данные Заявителя'!$B$43*SUM('Данные Заявителя'!AA43:AC43)+'Данные Заявителя'!$B$44*SUM('Данные Заявителя'!AA44:AC44)+'Данные Заявителя'!$B$45*SUM('Данные Заявителя'!AA45:AC45)+'Данные Заявителя'!$B$46*SUM('Данные Заявителя'!AA46:AC46))*('Данные Заявителя'!$B$7+1)^2</f>
        <v>876096.00000000012</v>
      </c>
      <c r="M6" s="5">
        <f>('Данные Заявителя'!$B$41*SUM('Данные Заявителя'!AD41:AF41)+'Данные Заявителя'!$B$42*SUM('Данные Заявителя'!AD42:AF42)+'Данные Заявителя'!$B$43*SUM('Данные Заявителя'!AD43:AF43)+'Данные Заявителя'!$B$44*SUM('Данные Заявителя'!AD44:AF44)+'Данные Заявителя'!$B$45*SUM('Данные Заявителя'!AD45:AF45)+'Данные Заявителя'!$B$46*SUM('Данные Заявителя'!AD46:AF46))*('Данные Заявителя'!$B$7+1)^2</f>
        <v>876096.00000000012</v>
      </c>
      <c r="N6" s="5">
        <f>('Данные Заявителя'!$B$41*SUM('Данные Заявителя'!AG41:AI41)+'Данные Заявителя'!$B$42*SUM('Данные Заявителя'!AG42:AI42)+'Данные Заявителя'!$B$43*SUM('Данные Заявителя'!AG43:AI43)+'Данные Заявителя'!$B$44*SUM('Данные Заявителя'!AG44:AI44)+'Данные Заявителя'!$B$45*SUM('Данные Заявителя'!AG45:AI45)+'Данные Заявителя'!$B$46*SUM('Данные Заявителя'!AG46:AI46))*('Данные Заявителя'!$B$7+1)^2</f>
        <v>876096.00000000012</v>
      </c>
      <c r="O6" s="5">
        <f>('Данные Заявителя'!$B$41*SUM('Данные Заявителя'!AJ41:AL41)+'Данные Заявителя'!$B$42*SUM('Данные Заявителя'!AJ42:AL42)+'Данные Заявителя'!$B$43*SUM('Данные Заявителя'!AJ43:AL43)+'Данные Заявителя'!$B$44*SUM('Данные Заявителя'!AJ44:AL44)+'Данные Заявителя'!$B$45*SUM('Данные Заявителя'!AJ45:AL45)+'Данные Заявителя'!$B$46*SUM('Данные Заявителя'!AJ46:AL46))*('Данные Заявителя'!$B$7+1)^2</f>
        <v>876096.00000000012</v>
      </c>
      <c r="P6" s="145">
        <f t="shared" ref="P6:P18" si="2">SUM(L6:O6)</f>
        <v>3504384.0000000005</v>
      </c>
      <c r="Q6" s="139">
        <f t="shared" ref="Q6:Q18" si="3">F6+K6+P6</f>
        <v>8629584</v>
      </c>
    </row>
    <row r="7" spans="1:17" ht="31.5" x14ac:dyDescent="0.25">
      <c r="A7" s="153" t="s">
        <v>48</v>
      </c>
      <c r="B7" s="134">
        <f>SUM('Данные Заявителя'!$B$101:$B$104)*B6</f>
        <v>72480.000000000015</v>
      </c>
      <c r="C7" s="5">
        <f>SUM('Данные Заявителя'!$B$101:$B$104)*C6</f>
        <v>190260.00000000003</v>
      </c>
      <c r="D7" s="5">
        <f>SUM('Данные Заявителя'!$B$101:$B$104)*D6</f>
        <v>190260.00000000003</v>
      </c>
      <c r="E7" s="129">
        <f>SUM('Данные Заявителя'!$B$101:$B$104)*E6</f>
        <v>190260.00000000003</v>
      </c>
      <c r="F7" s="139">
        <f t="shared" si="0"/>
        <v>643260.00000000012</v>
      </c>
      <c r="G7" s="134">
        <f>SUM('Данные Заявителя'!$B$101:$B$104)*G6</f>
        <v>226137.60000000003</v>
      </c>
      <c r="H7" s="5">
        <f>SUM('Данные Заявителя'!$B$101:$B$104)*H6</f>
        <v>226137.60000000003</v>
      </c>
      <c r="I7" s="5">
        <f>SUM('Данные Заявителя'!$B$101:$B$104)*I6</f>
        <v>226137.60000000003</v>
      </c>
      <c r="J7" s="129">
        <f>SUM('Данные Заявителя'!$B$101:$B$104)*J6</f>
        <v>226137.60000000003</v>
      </c>
      <c r="K7" s="139">
        <f t="shared" si="1"/>
        <v>904550.40000000014</v>
      </c>
      <c r="L7" s="134">
        <f>SUM('Данные Заявителя'!$B$101:$B$104)*L6</f>
        <v>264580.99200000009</v>
      </c>
      <c r="M7" s="5">
        <f>SUM('Данные Заявителя'!$B$101:$B$104)*M6</f>
        <v>264580.99200000009</v>
      </c>
      <c r="N7" s="5">
        <f>SUM('Данные Заявителя'!$B$101:$B$104)*N6</f>
        <v>264580.99200000009</v>
      </c>
      <c r="O7" s="5">
        <f>SUM('Данные Заявителя'!$B$101:$B$104)*O6</f>
        <v>264580.99200000009</v>
      </c>
      <c r="P7" s="145">
        <f t="shared" si="2"/>
        <v>1058323.9680000003</v>
      </c>
      <c r="Q7" s="139">
        <f t="shared" si="3"/>
        <v>2606134.3680000007</v>
      </c>
    </row>
    <row r="8" spans="1:17" ht="15.75" x14ac:dyDescent="0.25">
      <c r="A8" s="153" t="s">
        <v>109</v>
      </c>
      <c r="B8" s="134">
        <f>B9</f>
        <v>90000</v>
      </c>
      <c r="C8" s="5">
        <f t="shared" ref="C8:G8" si="4">C9</f>
        <v>90000</v>
      </c>
      <c r="D8" s="5">
        <f t="shared" si="4"/>
        <v>90000</v>
      </c>
      <c r="E8" s="129">
        <f t="shared" si="4"/>
        <v>90000</v>
      </c>
      <c r="F8" s="140">
        <f t="shared" si="4"/>
        <v>360000</v>
      </c>
      <c r="G8" s="134">
        <f t="shared" si="4"/>
        <v>90000</v>
      </c>
      <c r="H8" s="5">
        <f t="shared" ref="H8" si="5">H9</f>
        <v>90000</v>
      </c>
      <c r="I8" s="5">
        <f t="shared" ref="I8" si="6">I9</f>
        <v>90000</v>
      </c>
      <c r="J8" s="129">
        <f t="shared" ref="J8" si="7">J9</f>
        <v>90000</v>
      </c>
      <c r="K8" s="140">
        <f t="shared" ref="K8:L8" si="8">K9</f>
        <v>360000</v>
      </c>
      <c r="L8" s="134">
        <f t="shared" si="8"/>
        <v>150000</v>
      </c>
      <c r="M8" s="5">
        <f t="shared" ref="M8" si="9">M9</f>
        <v>150000</v>
      </c>
      <c r="N8" s="5">
        <f t="shared" ref="N8" si="10">N9</f>
        <v>150000</v>
      </c>
      <c r="O8" s="5">
        <f t="shared" ref="O8" si="11">O9</f>
        <v>150000</v>
      </c>
      <c r="P8" s="129">
        <f t="shared" ref="P8:Q8" si="12">P9</f>
        <v>600000</v>
      </c>
      <c r="Q8" s="140">
        <f t="shared" si="12"/>
        <v>1320000</v>
      </c>
    </row>
    <row r="9" spans="1:17" s="7" customFormat="1" ht="16.149999999999999" customHeight="1" x14ac:dyDescent="0.2">
      <c r="A9" s="154" t="str">
        <f>'Данные Заявителя'!A52:B52</f>
        <v>Аренда офисных помещений</v>
      </c>
      <c r="B9" s="149">
        <f>'Данные Заявителя'!C52+'Данные Заявителя'!D52+'Данные Заявителя'!E52</f>
        <v>90000</v>
      </c>
      <c r="C9" s="6">
        <f>+'Данные Заявителя'!F52+'Данные Заявителя'!G52+'Данные Заявителя'!H52</f>
        <v>90000</v>
      </c>
      <c r="D9" s="6">
        <f>+'Данные Заявителя'!I52+'Данные Заявителя'!J52+'Данные Заявителя'!K52</f>
        <v>90000</v>
      </c>
      <c r="E9" s="130">
        <f>+'Данные Заявителя'!L52+'Данные Заявителя'!M52+'Данные Заявителя'!N52</f>
        <v>90000</v>
      </c>
      <c r="F9" s="141">
        <f t="shared" si="0"/>
        <v>360000</v>
      </c>
      <c r="G9" s="135">
        <f>+'Данные Заявителя'!O52+'Данные Заявителя'!P52+'Данные Заявителя'!Q52</f>
        <v>90000</v>
      </c>
      <c r="H9" s="6">
        <f>+'Данные Заявителя'!R52+'Данные Заявителя'!S52+'Данные Заявителя'!T52</f>
        <v>90000</v>
      </c>
      <c r="I9" s="6">
        <f>+'Данные Заявителя'!U52+'Данные Заявителя'!V52+'Данные Заявителя'!W52</f>
        <v>90000</v>
      </c>
      <c r="J9" s="130">
        <f>+'Данные Заявителя'!X52+'Данные Заявителя'!Y52+'Данные Заявителя'!Z52</f>
        <v>90000</v>
      </c>
      <c r="K9" s="141">
        <f t="shared" si="1"/>
        <v>360000</v>
      </c>
      <c r="L9" s="135">
        <f>'Данные Заявителя'!AA52+'Данные Заявителя'!AB52+'Данные Заявителя'!AC52</f>
        <v>150000</v>
      </c>
      <c r="M9" s="6">
        <f>+'Данные Заявителя'!AD52+'Данные Заявителя'!AE52+'Данные Заявителя'!AF52</f>
        <v>150000</v>
      </c>
      <c r="N9" s="6">
        <f>+'Данные Заявителя'!AG52+'Данные Заявителя'!AH52+'Данные Заявителя'!AI52</f>
        <v>150000</v>
      </c>
      <c r="O9" s="6">
        <f>+'Данные Заявителя'!AJ52+'Данные Заявителя'!AK52+'Данные Заявителя'!AL52</f>
        <v>150000</v>
      </c>
      <c r="P9" s="146">
        <f t="shared" si="2"/>
        <v>600000</v>
      </c>
      <c r="Q9" s="141">
        <f t="shared" si="3"/>
        <v>1320000</v>
      </c>
    </row>
    <row r="10" spans="1:17" ht="15.75" customHeight="1" x14ac:dyDescent="0.25">
      <c r="A10" s="153" t="str">
        <f>'Данные Заявителя'!A53:B53</f>
        <v>Серверы и хостинг</v>
      </c>
      <c r="B10" s="150">
        <f>'Данные Заявителя'!C53+'Данные Заявителя'!D53+'Данные Заявителя'!E53</f>
        <v>30000</v>
      </c>
      <c r="C10" s="8">
        <f>'Данные Заявителя'!F53+'Данные Заявителя'!G53+'Данные Заявителя'!H53</f>
        <v>30000</v>
      </c>
      <c r="D10" s="8">
        <f>+'Данные Заявителя'!I53+'Данные Заявителя'!J53+'Данные Заявителя'!K53</f>
        <v>30000</v>
      </c>
      <c r="E10" s="131">
        <f>+'Данные Заявителя'!L53+'Данные Заявителя'!M53+'Данные Заявителя'!N53</f>
        <v>30000</v>
      </c>
      <c r="F10" s="141">
        <f t="shared" si="0"/>
        <v>120000</v>
      </c>
      <c r="G10" s="136">
        <f>'Данные Заявителя'!O53+'Данные Заявителя'!P53+'Данные Заявителя'!Q53</f>
        <v>60000</v>
      </c>
      <c r="H10" s="8">
        <f>+'Данные Заявителя'!R53+'Данные Заявителя'!S53+'Данные Заявителя'!T53</f>
        <v>60000</v>
      </c>
      <c r="I10" s="8">
        <f>+'Данные Заявителя'!U53+'Данные Заявителя'!V53+'Данные Заявителя'!W53</f>
        <v>60000</v>
      </c>
      <c r="J10" s="131">
        <f>+'Данные Заявителя'!X53+'Данные Заявителя'!Y53+'Данные Заявителя'!Z53</f>
        <v>60000</v>
      </c>
      <c r="K10" s="141">
        <f t="shared" si="1"/>
        <v>240000</v>
      </c>
      <c r="L10" s="136">
        <f>+'Данные Заявителя'!AA53+'Данные Заявителя'!AB53+'Данные Заявителя'!AC53</f>
        <v>90000</v>
      </c>
      <c r="M10" s="8">
        <f>+'Данные Заявителя'!AD53+'Данные Заявителя'!AE53+'Данные Заявителя'!AF53</f>
        <v>90000</v>
      </c>
      <c r="N10" s="8">
        <f>+'Данные Заявителя'!AG53+'Данные Заявителя'!AH53+'Данные Заявителя'!AI53</f>
        <v>90000</v>
      </c>
      <c r="O10" s="8">
        <f>+'Данные Заявителя'!AJ53+'Данные Заявителя'!AK53+'Данные Заявителя'!AL53</f>
        <v>90000</v>
      </c>
      <c r="P10" s="146">
        <f t="shared" si="2"/>
        <v>360000</v>
      </c>
      <c r="Q10" s="141">
        <f t="shared" si="3"/>
        <v>720000</v>
      </c>
    </row>
    <row r="11" spans="1:17" ht="32.450000000000003" customHeight="1" x14ac:dyDescent="0.25">
      <c r="A11" s="153" t="str">
        <f>'Данные Заявителя'!A54:B54</f>
        <v>Обслуживание и обновление платформы</v>
      </c>
      <c r="B11" s="150">
        <f>'Данные Заявителя'!C54+'Данные Заявителя'!D54+'Данные Заявителя'!E54</f>
        <v>90000</v>
      </c>
      <c r="C11" s="8">
        <f>'Данные Заявителя'!F54+'Данные Заявителя'!G54+'Данные Заявителя'!H54</f>
        <v>90000</v>
      </c>
      <c r="D11" s="8">
        <f>+'Данные Заявителя'!I54+'Данные Заявителя'!J54+'Данные Заявителя'!K54</f>
        <v>90000</v>
      </c>
      <c r="E11" s="131">
        <f>+'Данные Заявителя'!L54+'Данные Заявителя'!M54+'Данные Заявителя'!N54</f>
        <v>90000</v>
      </c>
      <c r="F11" s="141">
        <f t="shared" si="0"/>
        <v>360000</v>
      </c>
      <c r="G11" s="136">
        <f>'Данные Заявителя'!O54+'Данные Заявителя'!P54+'Данные Заявителя'!Q54</f>
        <v>90000</v>
      </c>
      <c r="H11" s="8">
        <f>+'Данные Заявителя'!R54+'Данные Заявителя'!S54+'Данные Заявителя'!T54</f>
        <v>90000</v>
      </c>
      <c r="I11" s="8">
        <f>+'Данные Заявителя'!U54+'Данные Заявителя'!V54+'Данные Заявителя'!W54</f>
        <v>90000</v>
      </c>
      <c r="J11" s="131">
        <f>+'Данные Заявителя'!X54+'Данные Заявителя'!Y54+'Данные Заявителя'!Z54</f>
        <v>90000</v>
      </c>
      <c r="K11" s="141">
        <f t="shared" si="1"/>
        <v>360000</v>
      </c>
      <c r="L11" s="136">
        <f>+'Данные Заявителя'!AA54+'Данные Заявителя'!AB54+'Данные Заявителя'!AC54</f>
        <v>150000</v>
      </c>
      <c r="M11" s="8">
        <f>+'Данные Заявителя'!AD54+'Данные Заявителя'!AE54+'Данные Заявителя'!AF54</f>
        <v>150000</v>
      </c>
      <c r="N11" s="8">
        <f>+'Данные Заявителя'!AG54+'Данные Заявителя'!AH54+'Данные Заявителя'!AI54</f>
        <v>150000</v>
      </c>
      <c r="O11" s="8">
        <f>+'Данные Заявителя'!AJ54+'Данные Заявителя'!AK54+'Данные Заявителя'!AL54</f>
        <v>150000</v>
      </c>
      <c r="P11" s="146">
        <f t="shared" si="2"/>
        <v>600000</v>
      </c>
      <c r="Q11" s="141">
        <f t="shared" si="3"/>
        <v>1320000</v>
      </c>
    </row>
    <row r="12" spans="1:17" ht="15.75" customHeight="1" x14ac:dyDescent="0.25">
      <c r="A12" s="155" t="str">
        <f>'Данные Заявителя'!A56:B56</f>
        <v>Комиссия за обработку платежей 3%</v>
      </c>
      <c r="B12" s="136">
        <f>'Данные Заявителя'!E55+'Данные Заявителя'!F55+'Данные Заявителя'!G55</f>
        <v>0</v>
      </c>
      <c r="C12" s="8">
        <f>'Данные Заявителя'!F56+'Данные Заявителя'!G56+'Данные Заявителя'!H56</f>
        <v>91500</v>
      </c>
      <c r="D12" s="8">
        <f>+'Данные Заявителя'!I56+'Данные Заявителя'!J56+'Данные Заявителя'!K56</f>
        <v>356850</v>
      </c>
      <c r="E12" s="131">
        <f>+'Данные Заявителя'!L56+'Данные Заявителя'!M56+'Данные Заявителя'!N56</f>
        <v>320250</v>
      </c>
      <c r="F12" s="141">
        <f t="shared" si="0"/>
        <v>768600</v>
      </c>
      <c r="G12" s="136">
        <f>'Данные Заявителя'!O56+'Данные Заявителя'!P56+'Данные Заявителя'!Q56</f>
        <v>823500</v>
      </c>
      <c r="H12" s="8">
        <f>+'Данные Заявителя'!R56+'Данные Заявителя'!S56+'Данные Заявителя'!T56</f>
        <v>640500</v>
      </c>
      <c r="I12" s="8">
        <f>+'Данные Заявителя'!U56+'Данные Заявителя'!V56+'Данные Заявителя'!W56</f>
        <v>640500</v>
      </c>
      <c r="J12" s="131">
        <f>+'Данные Заявителя'!X56+'Данные Заявителя'!Y56+'Данные Заявителя'!Z56</f>
        <v>732000</v>
      </c>
      <c r="K12" s="141">
        <f t="shared" si="1"/>
        <v>2836500</v>
      </c>
      <c r="L12" s="136">
        <f>+'Данные Заявителя'!AA56+'Данные Заявителя'!AB56+'Данные Заявителя'!AC56</f>
        <v>823500</v>
      </c>
      <c r="M12" s="8">
        <f>+'Данные Заявителя'!AD56+'Данные Заявителя'!AE56+'Данные Заявителя'!AF56</f>
        <v>1098000</v>
      </c>
      <c r="N12" s="8">
        <f>+'Данные Заявителя'!AG56+'Данные Заявителя'!AH56+'Данные Заявителя'!AI56</f>
        <v>1235250</v>
      </c>
      <c r="O12" s="8">
        <f>+'Данные Заявителя'!AJ56+'Данные Заявителя'!AK56+'Данные Заявителя'!AL56</f>
        <v>1235250</v>
      </c>
      <c r="P12" s="146">
        <f t="shared" si="2"/>
        <v>4392000</v>
      </c>
      <c r="Q12" s="141">
        <f t="shared" si="3"/>
        <v>7997100</v>
      </c>
    </row>
    <row r="13" spans="1:17" ht="31.5" x14ac:dyDescent="0.25">
      <c r="A13" s="156" t="str">
        <f>'Данные Заявителя'!A57:B57</f>
        <v>Расходы на рекламу и продвижение</v>
      </c>
      <c r="B13" s="150">
        <f>'Данные Заявителя'!C57+'Данные Заявителя'!D57+'Данные Заявителя'!E57</f>
        <v>0</v>
      </c>
      <c r="C13" s="8">
        <f>'Данные Заявителя'!F57+'Данные Заявителя'!G57+'Данные Заявителя'!H57</f>
        <v>450000</v>
      </c>
      <c r="D13" s="8">
        <f>+'Данные Заявителя'!I57+'Данные Заявителя'!J57+'Данные Заявителя'!K57</f>
        <v>450000</v>
      </c>
      <c r="E13" s="131">
        <f>+'Данные Заявителя'!L57+'Данные Заявителя'!M57+'Данные Заявителя'!N57</f>
        <v>450000</v>
      </c>
      <c r="F13" s="141">
        <f t="shared" si="0"/>
        <v>1350000</v>
      </c>
      <c r="G13" s="136">
        <f>'Данные Заявителя'!O57+'Данные Заявителя'!P57+'Данные Заявителя'!Q57</f>
        <v>450000</v>
      </c>
      <c r="H13" s="8">
        <f>+'Данные Заявителя'!R57+'Данные Заявителя'!S57+'Данные Заявителя'!T57</f>
        <v>450000</v>
      </c>
      <c r="I13" s="8">
        <f>+'Данные Заявителя'!U57+'Данные Заявителя'!V57+'Данные Заявителя'!W57</f>
        <v>450000</v>
      </c>
      <c r="J13" s="131">
        <f>+'Данные Заявителя'!X57+'Данные Заявителя'!Y57+'Данные Заявителя'!Z57</f>
        <v>450000</v>
      </c>
      <c r="K13" s="141">
        <f t="shared" si="1"/>
        <v>1800000</v>
      </c>
      <c r="L13" s="136">
        <f>+'Данные Заявителя'!AA57+'Данные Заявителя'!AB57+'Данные Заявителя'!AC57</f>
        <v>450000</v>
      </c>
      <c r="M13" s="8">
        <f>+'Данные Заявителя'!AD57+'Данные Заявителя'!AE57+'Данные Заявителя'!AF57</f>
        <v>450000</v>
      </c>
      <c r="N13" s="8">
        <f>+'Данные Заявителя'!AG57+'Данные Заявителя'!AH57+'Данные Заявителя'!AI57</f>
        <v>450000</v>
      </c>
      <c r="O13" s="8">
        <f>+'Данные Заявителя'!AJ57+'Данные Заявителя'!AK57+'Данные Заявителя'!AL57</f>
        <v>450000</v>
      </c>
      <c r="P13" s="146">
        <f t="shared" si="2"/>
        <v>1800000</v>
      </c>
      <c r="Q13" s="141">
        <f t="shared" si="3"/>
        <v>4950000</v>
      </c>
    </row>
    <row r="14" spans="1:17" ht="47.25" x14ac:dyDescent="0.25">
      <c r="A14" s="153" t="str">
        <f>'Данные Заявителя'!A58:B58</f>
        <v>Оплата услуг сторонних организаций (юридическое и бухгалтерское сопровождение)</v>
      </c>
      <c r="B14" s="150">
        <f>'Данные Заявителя'!C58+'Данные Заявителя'!D58+'Данные Заявителя'!E58</f>
        <v>90000</v>
      </c>
      <c r="C14" s="8">
        <f>'Данные Заявителя'!F58+'Данные Заявителя'!G58+'Данные Заявителя'!H58</f>
        <v>90000</v>
      </c>
      <c r="D14" s="8">
        <f>+'Данные Заявителя'!I58+'Данные Заявителя'!J58+'Данные Заявителя'!K58</f>
        <v>90000</v>
      </c>
      <c r="E14" s="131">
        <f>+'Данные Заявителя'!L58+'Данные Заявителя'!M58+'Данные Заявителя'!N58</f>
        <v>90000</v>
      </c>
      <c r="F14" s="141">
        <f t="shared" si="0"/>
        <v>360000</v>
      </c>
      <c r="G14" s="136">
        <f>'Данные Заявителя'!O58+'Данные Заявителя'!P58+'Данные Заявителя'!Q58</f>
        <v>90000</v>
      </c>
      <c r="H14" s="8">
        <f>+'Данные Заявителя'!R58+'Данные Заявителя'!S58+'Данные Заявителя'!T58</f>
        <v>90000</v>
      </c>
      <c r="I14" s="8">
        <f>+'Данные Заявителя'!U58+'Данные Заявителя'!V58+'Данные Заявителя'!W58</f>
        <v>90000</v>
      </c>
      <c r="J14" s="131">
        <f>+'Данные Заявителя'!X58+'Данные Заявителя'!Y58+'Данные Заявителя'!Z58</f>
        <v>90000</v>
      </c>
      <c r="K14" s="141">
        <f t="shared" si="1"/>
        <v>360000</v>
      </c>
      <c r="L14" s="136">
        <f>+'Данные Заявителя'!AA58+'Данные Заявителя'!AB58+'Данные Заявителя'!AC58</f>
        <v>90000</v>
      </c>
      <c r="M14" s="8">
        <f>+'Данные Заявителя'!AD58+'Данные Заявителя'!AE58+'Данные Заявителя'!AF58</f>
        <v>90000</v>
      </c>
      <c r="N14" s="8">
        <f>+'Данные Заявителя'!AG58+'Данные Заявителя'!AH58+'Данные Заявителя'!AI58</f>
        <v>90000</v>
      </c>
      <c r="O14" s="8">
        <f>+'Данные Заявителя'!AJ58+'Данные Заявителя'!AK58+'Данные Заявителя'!AL58</f>
        <v>90000</v>
      </c>
      <c r="P14" s="146">
        <f t="shared" si="2"/>
        <v>360000</v>
      </c>
      <c r="Q14" s="141">
        <f t="shared" si="3"/>
        <v>1080000</v>
      </c>
    </row>
    <row r="15" spans="1:17" ht="15.75" hidden="1" customHeight="1" x14ac:dyDescent="0.25">
      <c r="A15" s="153"/>
      <c r="B15" s="150">
        <f>'Данные Заявителя'!C59+'Данные Заявителя'!D59+'Данные Заявителя'!E59</f>
        <v>0</v>
      </c>
      <c r="C15" s="8">
        <f>'Данные Заявителя'!F59+'Данные Заявителя'!G59+'Данные Заявителя'!H59</f>
        <v>0</v>
      </c>
      <c r="D15" s="8">
        <f>+'Данные Заявителя'!I59+'Данные Заявителя'!J59+'Данные Заявителя'!K59</f>
        <v>0</v>
      </c>
      <c r="E15" s="131">
        <f>+'Данные Заявителя'!L59+'Данные Заявителя'!M59+'Данные Заявителя'!N59</f>
        <v>0</v>
      </c>
      <c r="F15" s="141">
        <f t="shared" si="0"/>
        <v>0</v>
      </c>
      <c r="G15" s="136">
        <f>'Данные Заявителя'!O59+'Данные Заявителя'!P59+'Данные Заявителя'!Q59</f>
        <v>0</v>
      </c>
      <c r="H15" s="8">
        <f>+'Данные Заявителя'!R59+'Данные Заявителя'!S59+'Данные Заявителя'!T59</f>
        <v>0</v>
      </c>
      <c r="I15" s="8">
        <f>+'Данные Заявителя'!U59+'Данные Заявителя'!V59+'Данные Заявителя'!W59</f>
        <v>0</v>
      </c>
      <c r="J15" s="131">
        <f>+'Данные Заявителя'!X59+'Данные Заявителя'!Y59+'Данные Заявителя'!Z59</f>
        <v>0</v>
      </c>
      <c r="K15" s="141">
        <f t="shared" si="1"/>
        <v>0</v>
      </c>
      <c r="L15" s="136">
        <f>+'Данные Заявителя'!AA59+'Данные Заявителя'!AB59+'Данные Заявителя'!AC59</f>
        <v>0</v>
      </c>
      <c r="M15" s="8">
        <f>+'Данные Заявителя'!AD59+'Данные Заявителя'!AE59+'Данные Заявителя'!AF59</f>
        <v>0</v>
      </c>
      <c r="N15" s="8">
        <f>+'Данные Заявителя'!AG59+'Данные Заявителя'!AH59+'Данные Заявителя'!AI59</f>
        <v>0</v>
      </c>
      <c r="O15" s="8">
        <f>+'Данные Заявителя'!AJ59+'Данные Заявителя'!AK59+'Данные Заявителя'!AL59</f>
        <v>0</v>
      </c>
      <c r="P15" s="146">
        <f t="shared" si="2"/>
        <v>0</v>
      </c>
      <c r="Q15" s="141">
        <f t="shared" si="3"/>
        <v>0</v>
      </c>
    </row>
    <row r="16" spans="1:17" ht="34.15" hidden="1" customHeight="1" x14ac:dyDescent="0.25">
      <c r="A16" s="153">
        <f>'Данные Заявителя'!A60:B60</f>
        <v>0</v>
      </c>
      <c r="B16" s="150">
        <f>'Данные Заявителя'!C60+'Данные Заявителя'!D60+'Данные Заявителя'!E60</f>
        <v>0</v>
      </c>
      <c r="C16" s="8">
        <f>'Данные Заявителя'!F60+'Данные Заявителя'!G60+'Данные Заявителя'!H60</f>
        <v>0</v>
      </c>
      <c r="D16" s="8">
        <f>+'Данные Заявителя'!I60+'Данные Заявителя'!J60+'Данные Заявителя'!K60</f>
        <v>0</v>
      </c>
      <c r="E16" s="131">
        <f>+'Данные Заявителя'!L60+'Данные Заявителя'!M60+'Данные Заявителя'!N60</f>
        <v>0</v>
      </c>
      <c r="F16" s="141">
        <f t="shared" si="0"/>
        <v>0</v>
      </c>
      <c r="G16" s="136">
        <f>'Данные Заявителя'!O60+'Данные Заявителя'!P60+'Данные Заявителя'!Q60</f>
        <v>0</v>
      </c>
      <c r="H16" s="8">
        <f>+'Данные Заявителя'!R60+'Данные Заявителя'!S60+'Данные Заявителя'!T60</f>
        <v>0</v>
      </c>
      <c r="I16" s="8">
        <f>+'Данные Заявителя'!U60+'Данные Заявителя'!V60+'Данные Заявителя'!W60</f>
        <v>0</v>
      </c>
      <c r="J16" s="131">
        <f>+'Данные Заявителя'!X60+'Данные Заявителя'!Y60+'Данные Заявителя'!Z60</f>
        <v>0</v>
      </c>
      <c r="K16" s="141">
        <f t="shared" si="1"/>
        <v>0</v>
      </c>
      <c r="L16" s="136">
        <f>+'Данные Заявителя'!AA60+'Данные Заявителя'!AB60+'Данные Заявителя'!AC60</f>
        <v>0</v>
      </c>
      <c r="M16" s="8">
        <f>+'Данные Заявителя'!AD60+'Данные Заявителя'!AE60+'Данные Заявителя'!AF60</f>
        <v>0</v>
      </c>
      <c r="N16" s="8">
        <f>+'Данные Заявителя'!AG60+'Данные Заявителя'!AH60+'Данные Заявителя'!AI60</f>
        <v>0</v>
      </c>
      <c r="O16" s="8">
        <f>+'Данные Заявителя'!AJ60+'Данные Заявителя'!AK60+'Данные Заявителя'!AL60</f>
        <v>0</v>
      </c>
      <c r="P16" s="146">
        <f t="shared" si="2"/>
        <v>0</v>
      </c>
      <c r="Q16" s="141">
        <f t="shared" si="3"/>
        <v>0</v>
      </c>
    </row>
    <row r="17" spans="1:17" ht="15.75" customHeight="1" thickBot="1" x14ac:dyDescent="0.3">
      <c r="A17" s="157" t="s">
        <v>111</v>
      </c>
      <c r="B17" s="151">
        <f>SUM('Данные Заявителя'!C123:C125)</f>
        <v>0</v>
      </c>
      <c r="C17" s="126">
        <f>SUM('Данные Заявителя'!C126:C128)</f>
        <v>0</v>
      </c>
      <c r="D17" s="126">
        <f>SUM('Данные Заявителя'!C129:C131)</f>
        <v>0</v>
      </c>
      <c r="E17" s="132">
        <f>SUM('Данные Заявителя'!C132:C134)</f>
        <v>0</v>
      </c>
      <c r="F17" s="142">
        <f t="shared" si="0"/>
        <v>0</v>
      </c>
      <c r="G17" s="137">
        <f>SUM('Данные Заявителя'!C135:C137)</f>
        <v>0</v>
      </c>
      <c r="H17" s="126">
        <f>SUM('Данные Заявителя'!C138:C140)</f>
        <v>0</v>
      </c>
      <c r="I17" s="126">
        <f>SUM('Данные Заявителя'!C141:C143)</f>
        <v>0</v>
      </c>
      <c r="J17" s="132">
        <f>SUM('Данные Заявителя'!C144:C146)</f>
        <v>0</v>
      </c>
      <c r="K17" s="142">
        <f t="shared" si="1"/>
        <v>0</v>
      </c>
      <c r="L17" s="137">
        <f>SUM('Данные Заявителя'!C147:C149)</f>
        <v>0</v>
      </c>
      <c r="M17" s="126">
        <f>SUM('Данные Заявителя'!C150:C152)</f>
        <v>0</v>
      </c>
      <c r="N17" s="126">
        <f>SUM('Данные Заявителя'!C153:C155)</f>
        <v>0</v>
      </c>
      <c r="O17" s="126">
        <f>SUM('Данные Заявителя'!C156:C158)</f>
        <v>0</v>
      </c>
      <c r="P17" s="147">
        <f t="shared" si="2"/>
        <v>0</v>
      </c>
      <c r="Q17" s="142">
        <f t="shared" si="3"/>
        <v>0</v>
      </c>
    </row>
    <row r="18" spans="1:17" s="1" customFormat="1" ht="16.5" thickBot="1" x14ac:dyDescent="0.3">
      <c r="A18" s="158" t="s">
        <v>110</v>
      </c>
      <c r="B18" s="152">
        <f>SUM(B10:B17,B5:B8)</f>
        <v>612480</v>
      </c>
      <c r="C18" s="127">
        <f>SUM(C10:C17,C5:C8)</f>
        <v>1661760</v>
      </c>
      <c r="D18" s="127">
        <f>SUM(D10:D17,D5:D8)</f>
        <v>1927110</v>
      </c>
      <c r="E18" s="133">
        <f>SUM(E10:E17,E5:E8)</f>
        <v>1890510</v>
      </c>
      <c r="F18" s="143">
        <f t="shared" si="0"/>
        <v>6091860</v>
      </c>
      <c r="G18" s="138">
        <f>SUM(G10:G17,G5:G8)</f>
        <v>2578437.6</v>
      </c>
      <c r="H18" s="128">
        <f>SUM(H10:H17,H5:H8)</f>
        <v>2395437.6</v>
      </c>
      <c r="I18" s="128">
        <f>SUM(I10:I17,I5:I8)</f>
        <v>2395437.6</v>
      </c>
      <c r="J18" s="144">
        <f>SUM(J10:J17,J5:J8)</f>
        <v>2486937.6000000001</v>
      </c>
      <c r="K18" s="143">
        <f t="shared" si="1"/>
        <v>9856250.4000000004</v>
      </c>
      <c r="L18" s="138">
        <f>SUM(L10:L17,L5:L8)</f>
        <v>2894176.9920000001</v>
      </c>
      <c r="M18" s="128">
        <f>SUM(M10:M17,M5:M8)</f>
        <v>3168676.9920000001</v>
      </c>
      <c r="N18" s="128">
        <f>SUM(N10:N17,N5:N8)</f>
        <v>3305926.9920000001</v>
      </c>
      <c r="O18" s="128">
        <f>SUM(O10:O17,O5:O8)</f>
        <v>3305926.9920000001</v>
      </c>
      <c r="P18" s="148">
        <f t="shared" si="2"/>
        <v>12674707.968</v>
      </c>
      <c r="Q18" s="143">
        <f t="shared" si="3"/>
        <v>28622818.368000001</v>
      </c>
    </row>
    <row r="19" spans="1:17" x14ac:dyDescent="0.25">
      <c r="B19" s="47"/>
      <c r="C19" s="47"/>
      <c r="D19" s="47"/>
      <c r="E19" s="47"/>
    </row>
    <row r="20" spans="1:17" ht="15.75" thickBot="1" x14ac:dyDescent="0.3">
      <c r="A20" s="1" t="s">
        <v>184</v>
      </c>
    </row>
    <row r="21" spans="1:17" x14ac:dyDescent="0.25">
      <c r="A21" s="256" t="s">
        <v>106</v>
      </c>
      <c r="B21" s="255" t="s">
        <v>83</v>
      </c>
      <c r="C21" s="252"/>
      <c r="D21" s="252"/>
      <c r="E21" s="258"/>
      <c r="F21" s="256" t="s">
        <v>84</v>
      </c>
      <c r="G21" s="255" t="s">
        <v>85</v>
      </c>
      <c r="H21" s="252"/>
      <c r="I21" s="252"/>
      <c r="J21" s="258"/>
      <c r="K21" s="256" t="s">
        <v>87</v>
      </c>
      <c r="L21" s="255" t="s">
        <v>86</v>
      </c>
      <c r="M21" s="252"/>
      <c r="N21" s="252"/>
      <c r="O21" s="258"/>
      <c r="P21" s="256" t="s">
        <v>88</v>
      </c>
      <c r="Q21" s="256" t="s">
        <v>89</v>
      </c>
    </row>
    <row r="22" spans="1:17" x14ac:dyDescent="0.25">
      <c r="A22" s="257"/>
      <c r="B22" s="116" t="s">
        <v>79</v>
      </c>
      <c r="C22" s="4" t="s">
        <v>80</v>
      </c>
      <c r="D22" s="4" t="s">
        <v>81</v>
      </c>
      <c r="E22" s="112" t="s">
        <v>82</v>
      </c>
      <c r="F22" s="257"/>
      <c r="G22" s="116" t="s">
        <v>79</v>
      </c>
      <c r="H22" s="4" t="s">
        <v>80</v>
      </c>
      <c r="I22" s="4" t="s">
        <v>81</v>
      </c>
      <c r="J22" s="112" t="s">
        <v>82</v>
      </c>
      <c r="K22" s="257"/>
      <c r="L22" s="116" t="s">
        <v>79</v>
      </c>
      <c r="M22" s="4" t="s">
        <v>80</v>
      </c>
      <c r="N22" s="4" t="s">
        <v>81</v>
      </c>
      <c r="O22" s="112" t="s">
        <v>82</v>
      </c>
      <c r="P22" s="257"/>
      <c r="Q22" s="257"/>
    </row>
    <row r="23" spans="1:17" hidden="1" x14ac:dyDescent="0.25">
      <c r="A23" s="159" t="str">
        <f>'Данные Заявителя'!A31</f>
        <v>Средний чек одного заказа</v>
      </c>
      <c r="B23" s="117"/>
      <c r="C23" s="9"/>
      <c r="D23" s="9"/>
      <c r="E23" s="113"/>
      <c r="F23" s="120"/>
      <c r="G23" s="117"/>
      <c r="H23" s="9"/>
      <c r="I23" s="9"/>
      <c r="J23" s="113"/>
      <c r="K23" s="120"/>
      <c r="L23" s="117"/>
      <c r="M23" s="9"/>
      <c r="N23" s="9"/>
      <c r="O23" s="113"/>
      <c r="P23" s="120"/>
      <c r="Q23" s="123"/>
    </row>
    <row r="24" spans="1:17" hidden="1" x14ac:dyDescent="0.25">
      <c r="A24" s="159" t="str">
        <f>'Данные Заявителя'!A32</f>
        <v>Количество активных поваров</v>
      </c>
      <c r="B24" s="117"/>
      <c r="C24" s="9"/>
      <c r="D24" s="9"/>
      <c r="E24" s="113"/>
      <c r="F24" s="120"/>
      <c r="G24" s="117"/>
      <c r="H24" s="9"/>
      <c r="I24" s="9"/>
      <c r="J24" s="113"/>
      <c r="K24" s="120"/>
      <c r="L24" s="117"/>
      <c r="M24" s="9"/>
      <c r="N24" s="9"/>
      <c r="O24" s="113"/>
      <c r="P24" s="120"/>
      <c r="Q24" s="123"/>
    </row>
    <row r="25" spans="1:17" ht="30" hidden="1" x14ac:dyDescent="0.25">
      <c r="A25" s="159" t="str">
        <f>'Данные Заявителя'!A33</f>
        <v>Количество заказов в день на 1 повара (стартовый этап)</v>
      </c>
      <c r="B25" s="117"/>
      <c r="C25" s="9"/>
      <c r="D25" s="9"/>
      <c r="E25" s="113"/>
      <c r="F25" s="120"/>
      <c r="G25" s="117"/>
      <c r="H25" s="9"/>
      <c r="I25" s="9"/>
      <c r="J25" s="113"/>
      <c r="K25" s="120"/>
      <c r="L25" s="117"/>
      <c r="M25" s="9"/>
      <c r="N25" s="9"/>
      <c r="O25" s="113"/>
      <c r="P25" s="120"/>
      <c r="Q25" s="123"/>
    </row>
    <row r="26" spans="1:17" x14ac:dyDescent="0.25">
      <c r="A26" s="159" t="str">
        <f>'Данные Заявителя'!A34</f>
        <v>Общая сумма заказов</v>
      </c>
      <c r="B26" s="117">
        <f>SUM('Данные Заявителя'!C34:E34)</f>
        <v>0</v>
      </c>
      <c r="C26" s="9">
        <f>SUM('Данные Заявителя'!F34:H34)</f>
        <v>3050000</v>
      </c>
      <c r="D26" s="9">
        <f>SUM('Данные Заявителя'!I34:K34)</f>
        <v>11895000</v>
      </c>
      <c r="E26" s="113">
        <f>SUM('Данные Заявителя'!L34:N34)</f>
        <v>10675000</v>
      </c>
      <c r="F26" s="120">
        <f t="shared" ref="F26:F28" si="13">SUM(B26:E26)</f>
        <v>25620000</v>
      </c>
      <c r="G26" s="117">
        <f>SUM('Данные Заявителя'!O34:Q34)*(1+'Данные Заявителя'!$B$6)</f>
        <v>28548000</v>
      </c>
      <c r="H26" s="9">
        <f>SUM('Данные Заявителя'!R34:T34)*(1+'Данные Заявителя'!$B$6)</f>
        <v>22204000</v>
      </c>
      <c r="I26" s="9">
        <f>SUM('Данные Заявителя'!U34:W34)*(1+'Данные Заявителя'!$B$6)</f>
        <v>22204000</v>
      </c>
      <c r="J26" s="113">
        <f>SUM('Данные Заявителя'!X34:Z34)*(1+'Данные Заявителя'!$B$6)</f>
        <v>25376000</v>
      </c>
      <c r="K26" s="120">
        <f t="shared" ref="K26:K28" si="14">SUM(G26:J26)</f>
        <v>98332000</v>
      </c>
      <c r="L26" s="117">
        <f>SUM('Данные Заявителя'!AA34:AC34)*(1+'Данные Заявителя'!$B$6)*(1+'Данные Заявителя'!$B$6)</f>
        <v>29689920</v>
      </c>
      <c r="M26" s="9">
        <f>SUM('Данные Заявителя'!AD34:AF34)*(1+'Данные Заявителя'!$B$6)*(1+'Данные Заявителя'!$B$6)</f>
        <v>39586560</v>
      </c>
      <c r="N26" s="9">
        <f>SUM('Данные Заявителя'!AG34:AI34)*(1+'Данные Заявителя'!$B$6)*(1+'Данные Заявителя'!$B$6)</f>
        <v>44534880</v>
      </c>
      <c r="O26" s="113">
        <f>SUM('Данные Заявителя'!AJ34:AL34)*(1+'Данные Заявителя'!$B$6)*(1+'Данные Заявителя'!$B$6)</f>
        <v>44534880</v>
      </c>
      <c r="P26" s="120">
        <f t="shared" ref="P26:P28" si="15">SUM(L26:O26)</f>
        <v>158346240</v>
      </c>
      <c r="Q26" s="123">
        <f t="shared" ref="Q26:Q28" si="16">F26+K26+P26</f>
        <v>282298240</v>
      </c>
    </row>
    <row r="27" spans="1:17" ht="30" customHeight="1" thickBot="1" x14ac:dyDescent="0.3">
      <c r="A27" s="160" t="str">
        <f>'Данные Заявителя'!A35</f>
        <v>КОМИССИЯ СЕРВИСА (ДОХОД)</v>
      </c>
      <c r="B27" s="118">
        <f>SUM('Данные Заявителя'!C35:E35)</f>
        <v>0</v>
      </c>
      <c r="C27" s="110">
        <f>SUM('Данные Заявителя'!F35:H35)</f>
        <v>610000</v>
      </c>
      <c r="D27" s="110">
        <f>SUM('Данные Заявителя'!I35:K35)</f>
        <v>2379000</v>
      </c>
      <c r="E27" s="114">
        <f>SUM('Данные Заявителя'!L35:N35)</f>
        <v>2135000</v>
      </c>
      <c r="F27" s="121">
        <f t="shared" si="13"/>
        <v>5124000</v>
      </c>
      <c r="G27" s="118">
        <f>SUM('Данные Заявителя'!O35:Q35)*(1+'Данные Заявителя'!$B$6)</f>
        <v>5709600</v>
      </c>
      <c r="H27" s="110">
        <f>SUM('Данные Заявителя'!R35:T35)*(1+'Данные Заявителя'!$B$6)</f>
        <v>4440800</v>
      </c>
      <c r="I27" s="110">
        <f>SUM('Данные Заявителя'!U35:W35)*(1+'Данные Заявителя'!$B$6)</f>
        <v>4440800</v>
      </c>
      <c r="J27" s="114">
        <f>SUM('Данные Заявителя'!X35:Z35)*(1+'Данные Заявителя'!$B$6)</f>
        <v>5075200</v>
      </c>
      <c r="K27" s="121">
        <f t="shared" si="14"/>
        <v>19666400</v>
      </c>
      <c r="L27" s="118">
        <f>SUM('Данные Заявителя'!AA35:AC35)*(1+'Данные Заявителя'!$B$6)*(1+'Данные Заявителя'!$B$6)</f>
        <v>5937984</v>
      </c>
      <c r="M27" s="110">
        <f>SUM('Данные Заявителя'!AD35:AF35)*(1+'Данные Заявителя'!$B$6)*(1+'Данные Заявителя'!$B$6)</f>
        <v>7917312</v>
      </c>
      <c r="N27" s="110">
        <f>SUM('Данные Заявителя'!AG35:AI35)*(1+'Данные Заявителя'!$B$6)*(1+'Данные Заявителя'!$B$6)</f>
        <v>8906976</v>
      </c>
      <c r="O27" s="114">
        <f>SUM('Данные Заявителя'!AJ35:AL35)*(1+'Данные Заявителя'!$B$6)*(1+'Данные Заявителя'!$B$6)</f>
        <v>8906976</v>
      </c>
      <c r="P27" s="121">
        <f t="shared" si="15"/>
        <v>31669248</v>
      </c>
      <c r="Q27" s="124">
        <f t="shared" si="16"/>
        <v>56459648</v>
      </c>
    </row>
    <row r="28" spans="1:17" s="1" customFormat="1" ht="33" customHeight="1" thickBot="1" x14ac:dyDescent="0.3">
      <c r="A28" s="161" t="s">
        <v>212</v>
      </c>
      <c r="B28" s="119">
        <f>SUM(B23:B27)</f>
        <v>0</v>
      </c>
      <c r="C28" s="111">
        <f>C27</f>
        <v>610000</v>
      </c>
      <c r="D28" s="111">
        <f t="shared" ref="D28:E28" si="17">D27</f>
        <v>2379000</v>
      </c>
      <c r="E28" s="115">
        <f t="shared" si="17"/>
        <v>2135000</v>
      </c>
      <c r="F28" s="122">
        <f>SUM(C28:E28)</f>
        <v>5124000</v>
      </c>
      <c r="G28" s="119">
        <f>G27</f>
        <v>5709600</v>
      </c>
      <c r="H28" s="111">
        <f t="shared" ref="H28:J28" si="18">H27</f>
        <v>4440800</v>
      </c>
      <c r="I28" s="111">
        <f t="shared" si="18"/>
        <v>4440800</v>
      </c>
      <c r="J28" s="115">
        <f t="shared" si="18"/>
        <v>5075200</v>
      </c>
      <c r="K28" s="122">
        <f>SUM(G28:J28)</f>
        <v>19666400</v>
      </c>
      <c r="L28" s="119">
        <f>L27</f>
        <v>5937984</v>
      </c>
      <c r="M28" s="111">
        <f t="shared" ref="M28:O28" si="19">M27</f>
        <v>7917312</v>
      </c>
      <c r="N28" s="111">
        <f t="shared" si="19"/>
        <v>8906976</v>
      </c>
      <c r="O28" s="115">
        <f t="shared" si="19"/>
        <v>8906976</v>
      </c>
      <c r="P28" s="122">
        <f t="shared" si="15"/>
        <v>31669248</v>
      </c>
      <c r="Q28" s="125">
        <f t="shared" si="16"/>
        <v>56459648</v>
      </c>
    </row>
    <row r="31" spans="1:17" ht="15.75" thickBot="1" x14ac:dyDescent="0.3">
      <c r="A31" s="1" t="s">
        <v>223</v>
      </c>
    </row>
    <row r="32" spans="1:17" x14ac:dyDescent="0.25">
      <c r="A32" s="245" t="s">
        <v>112</v>
      </c>
      <c r="B32" s="255" t="s">
        <v>83</v>
      </c>
      <c r="C32" s="252"/>
      <c r="D32" s="252"/>
      <c r="E32" s="258"/>
      <c r="F32" s="256" t="s">
        <v>84</v>
      </c>
      <c r="G32" s="255" t="s">
        <v>85</v>
      </c>
      <c r="H32" s="252"/>
      <c r="I32" s="252"/>
      <c r="J32" s="258"/>
      <c r="K32" s="256" t="s">
        <v>87</v>
      </c>
      <c r="L32" s="255" t="s">
        <v>86</v>
      </c>
      <c r="M32" s="252"/>
      <c r="N32" s="252"/>
      <c r="O32" s="258"/>
      <c r="P32" s="256" t="s">
        <v>88</v>
      </c>
      <c r="Q32" s="261" t="s">
        <v>89</v>
      </c>
    </row>
    <row r="33" spans="1:17" x14ac:dyDescent="0.25">
      <c r="A33" s="246"/>
      <c r="B33" s="116" t="s">
        <v>79</v>
      </c>
      <c r="C33" s="4" t="s">
        <v>80</v>
      </c>
      <c r="D33" s="4" t="s">
        <v>81</v>
      </c>
      <c r="E33" s="112" t="s">
        <v>82</v>
      </c>
      <c r="F33" s="257"/>
      <c r="G33" s="116" t="s">
        <v>79</v>
      </c>
      <c r="H33" s="4" t="s">
        <v>80</v>
      </c>
      <c r="I33" s="4" t="s">
        <v>81</v>
      </c>
      <c r="J33" s="112" t="s">
        <v>82</v>
      </c>
      <c r="K33" s="257"/>
      <c r="L33" s="116" t="s">
        <v>79</v>
      </c>
      <c r="M33" s="4" t="s">
        <v>80</v>
      </c>
      <c r="N33" s="4" t="s">
        <v>81</v>
      </c>
      <c r="O33" s="112" t="s">
        <v>82</v>
      </c>
      <c r="P33" s="257"/>
      <c r="Q33" s="262"/>
    </row>
    <row r="34" spans="1:17" s="1" customFormat="1" x14ac:dyDescent="0.25">
      <c r="A34" s="167" t="s">
        <v>90</v>
      </c>
      <c r="B34" s="165">
        <f>B28/1000</f>
        <v>0</v>
      </c>
      <c r="C34" s="10">
        <f t="shared" ref="C34:E34" si="20">C28/1000</f>
        <v>610</v>
      </c>
      <c r="D34" s="10">
        <f t="shared" si="20"/>
        <v>2379</v>
      </c>
      <c r="E34" s="170">
        <f t="shared" si="20"/>
        <v>2135</v>
      </c>
      <c r="F34" s="172">
        <f>SUM(B34:E34)</f>
        <v>5124</v>
      </c>
      <c r="G34" s="165">
        <f>G28/1000</f>
        <v>5709.6</v>
      </c>
      <c r="H34" s="10">
        <f t="shared" ref="H34:J34" si="21">H28/1000</f>
        <v>4440.8</v>
      </c>
      <c r="I34" s="10">
        <f t="shared" si="21"/>
        <v>4440.8</v>
      </c>
      <c r="J34" s="170">
        <f t="shared" si="21"/>
        <v>5075.2</v>
      </c>
      <c r="K34" s="172">
        <f>SUM(G34:J34)</f>
        <v>19666.400000000001</v>
      </c>
      <c r="L34" s="165">
        <f>L28/1000</f>
        <v>5937.9840000000004</v>
      </c>
      <c r="M34" s="10">
        <f t="shared" ref="M34:O34" si="22">M28/1000</f>
        <v>7917.3119999999999</v>
      </c>
      <c r="N34" s="10">
        <f t="shared" si="22"/>
        <v>8906.9760000000006</v>
      </c>
      <c r="O34" s="170">
        <f t="shared" si="22"/>
        <v>8906.9760000000006</v>
      </c>
      <c r="P34" s="172">
        <f>SUM(L34:O34)</f>
        <v>31669.248</v>
      </c>
      <c r="Q34" s="162">
        <f>F34+K34+P34</f>
        <v>56459.648000000001</v>
      </c>
    </row>
    <row r="35" spans="1:17" ht="13.9" customHeight="1" x14ac:dyDescent="0.25">
      <c r="A35" s="168"/>
      <c r="B35" s="11"/>
      <c r="C35" s="11"/>
      <c r="D35" s="11"/>
      <c r="E35" s="11"/>
      <c r="F35" s="172"/>
      <c r="G35" s="11"/>
      <c r="H35" s="11"/>
      <c r="I35" s="11"/>
      <c r="J35" s="11"/>
      <c r="K35" s="172"/>
      <c r="L35" s="12"/>
      <c r="M35" s="13"/>
      <c r="N35" s="13"/>
      <c r="O35" s="13"/>
      <c r="P35" s="175"/>
      <c r="Q35" s="162"/>
    </row>
    <row r="36" spans="1:17" s="1" customFormat="1" x14ac:dyDescent="0.25">
      <c r="A36" s="167" t="s">
        <v>71</v>
      </c>
      <c r="B36" s="165">
        <f>SUM(B37:B40)</f>
        <v>612.48</v>
      </c>
      <c r="C36" s="10">
        <f>SUM(C37:C40)</f>
        <v>1661.76</v>
      </c>
      <c r="D36" s="10">
        <f>SUM(D37:D40)</f>
        <v>1927.11</v>
      </c>
      <c r="E36" s="170">
        <f>SUM(E37:E40)</f>
        <v>1890.51</v>
      </c>
      <c r="F36" s="172">
        <f>SUM(B36:E36)</f>
        <v>6091.86</v>
      </c>
      <c r="G36" s="165">
        <f>SUM(G37:G40)</f>
        <v>2578.4376000000002</v>
      </c>
      <c r="H36" s="10">
        <f>SUM(H37:H40)</f>
        <v>2395.4376000000002</v>
      </c>
      <c r="I36" s="10">
        <f>SUM(I37:I40)</f>
        <v>2395.4376000000002</v>
      </c>
      <c r="J36" s="170">
        <f>SUM(J37:J40)</f>
        <v>2486.9376000000002</v>
      </c>
      <c r="K36" s="172">
        <f>SUM(G36:J36)</f>
        <v>9856.2504000000008</v>
      </c>
      <c r="L36" s="165">
        <f>SUM(L37:L40)</f>
        <v>2894.1769920000002</v>
      </c>
      <c r="M36" s="10">
        <f>SUM(M37:M40)</f>
        <v>3168.6769920000002</v>
      </c>
      <c r="N36" s="10">
        <f>SUM(N37:N40)</f>
        <v>3305.9269920000002</v>
      </c>
      <c r="O36" s="170">
        <f>SUM(O37:O40)</f>
        <v>3305.9269920000002</v>
      </c>
      <c r="P36" s="172">
        <f>SUM(L36:O36)</f>
        <v>12674.707968000001</v>
      </c>
      <c r="Q36" s="162">
        <f>F36+K36+P36</f>
        <v>28622.818368</v>
      </c>
    </row>
    <row r="37" spans="1:17" x14ac:dyDescent="0.25">
      <c r="A37" s="168" t="s">
        <v>72</v>
      </c>
      <c r="B37" s="134">
        <f t="shared" ref="B37:E38" si="23">B6/1000</f>
        <v>240</v>
      </c>
      <c r="C37" s="5">
        <f t="shared" si="23"/>
        <v>630</v>
      </c>
      <c r="D37" s="5">
        <f t="shared" si="23"/>
        <v>630</v>
      </c>
      <c r="E37" s="129">
        <f t="shared" si="23"/>
        <v>630</v>
      </c>
      <c r="F37" s="172">
        <f t="shared" ref="F37:F40" si="24">SUM(B37:E37)</f>
        <v>2130</v>
      </c>
      <c r="G37" s="134">
        <f t="shared" ref="G37:J38" si="25">G6/1000</f>
        <v>748.8</v>
      </c>
      <c r="H37" s="5">
        <f t="shared" si="25"/>
        <v>748.8</v>
      </c>
      <c r="I37" s="5">
        <f t="shared" si="25"/>
        <v>748.8</v>
      </c>
      <c r="J37" s="129">
        <f t="shared" si="25"/>
        <v>748.8</v>
      </c>
      <c r="K37" s="172">
        <f t="shared" ref="K37:K40" si="26">SUM(G37:J37)</f>
        <v>2995.2</v>
      </c>
      <c r="L37" s="134">
        <f t="shared" ref="L37:O38" si="27">L6/1000</f>
        <v>876.09600000000012</v>
      </c>
      <c r="M37" s="5">
        <f t="shared" si="27"/>
        <v>876.09600000000012</v>
      </c>
      <c r="N37" s="5">
        <f t="shared" si="27"/>
        <v>876.09600000000012</v>
      </c>
      <c r="O37" s="129">
        <f t="shared" si="27"/>
        <v>876.09600000000012</v>
      </c>
      <c r="P37" s="172">
        <f t="shared" ref="P37:P44" si="28">SUM(L37:O37)</f>
        <v>3504.3840000000005</v>
      </c>
      <c r="Q37" s="162">
        <f t="shared" ref="Q37:Q44" si="29">F37+K37+P37</f>
        <v>8629.5840000000007</v>
      </c>
    </row>
    <row r="38" spans="1:17" x14ac:dyDescent="0.25">
      <c r="A38" s="168" t="s">
        <v>73</v>
      </c>
      <c r="B38" s="134">
        <f t="shared" si="23"/>
        <v>72.480000000000018</v>
      </c>
      <c r="C38" s="5">
        <f t="shared" si="23"/>
        <v>190.26000000000002</v>
      </c>
      <c r="D38" s="5">
        <f t="shared" si="23"/>
        <v>190.26000000000002</v>
      </c>
      <c r="E38" s="129">
        <f t="shared" si="23"/>
        <v>190.26000000000002</v>
      </c>
      <c r="F38" s="172">
        <f t="shared" si="24"/>
        <v>643.26</v>
      </c>
      <c r="G38" s="134">
        <f t="shared" si="25"/>
        <v>226.13760000000005</v>
      </c>
      <c r="H38" s="5">
        <f t="shared" si="25"/>
        <v>226.13760000000005</v>
      </c>
      <c r="I38" s="5">
        <f t="shared" si="25"/>
        <v>226.13760000000005</v>
      </c>
      <c r="J38" s="129">
        <f t="shared" si="25"/>
        <v>226.13760000000005</v>
      </c>
      <c r="K38" s="172">
        <f t="shared" si="26"/>
        <v>904.5504000000002</v>
      </c>
      <c r="L38" s="134">
        <f t="shared" si="27"/>
        <v>264.58099200000009</v>
      </c>
      <c r="M38" s="5">
        <f t="shared" si="27"/>
        <v>264.58099200000009</v>
      </c>
      <c r="N38" s="5">
        <f t="shared" si="27"/>
        <v>264.58099200000009</v>
      </c>
      <c r="O38" s="129">
        <f t="shared" si="27"/>
        <v>264.58099200000009</v>
      </c>
      <c r="P38" s="172">
        <f t="shared" si="28"/>
        <v>1058.3239680000004</v>
      </c>
      <c r="Q38" s="162">
        <f t="shared" si="29"/>
        <v>2606.1343680000009</v>
      </c>
    </row>
    <row r="39" spans="1:17" x14ac:dyDescent="0.25">
      <c r="A39" s="168" t="s">
        <v>74</v>
      </c>
      <c r="B39" s="134">
        <f>B5/1000</f>
        <v>0</v>
      </c>
      <c r="C39" s="5">
        <f>C5/1000</f>
        <v>0</v>
      </c>
      <c r="D39" s="5">
        <f>D5/1000</f>
        <v>0</v>
      </c>
      <c r="E39" s="129">
        <f>E5/1000</f>
        <v>0</v>
      </c>
      <c r="F39" s="172">
        <f t="shared" si="24"/>
        <v>0</v>
      </c>
      <c r="G39" s="134">
        <f>G5/1000</f>
        <v>0</v>
      </c>
      <c r="H39" s="5">
        <f>H5/1000</f>
        <v>0</v>
      </c>
      <c r="I39" s="5">
        <f>I5/1000</f>
        <v>0</v>
      </c>
      <c r="J39" s="129">
        <f>J5/1000</f>
        <v>0</v>
      </c>
      <c r="K39" s="172">
        <f t="shared" si="26"/>
        <v>0</v>
      </c>
      <c r="L39" s="134">
        <f>L5/1000</f>
        <v>0</v>
      </c>
      <c r="M39" s="5">
        <f>M5/1000</f>
        <v>0</v>
      </c>
      <c r="N39" s="5">
        <f>N5/1000</f>
        <v>0</v>
      </c>
      <c r="O39" s="129">
        <f>O5/1000</f>
        <v>0</v>
      </c>
      <c r="P39" s="172">
        <f t="shared" si="28"/>
        <v>0</v>
      </c>
      <c r="Q39" s="162">
        <f t="shared" si="29"/>
        <v>0</v>
      </c>
    </row>
    <row r="40" spans="1:17" x14ac:dyDescent="0.25">
      <c r="A40" s="168" t="s">
        <v>75</v>
      </c>
      <c r="B40" s="134">
        <f>SUM(B10:B17,B8)/1000</f>
        <v>300</v>
      </c>
      <c r="C40" s="5">
        <f>SUM(C10:C17,C8)/1000</f>
        <v>841.5</v>
      </c>
      <c r="D40" s="5">
        <f>SUM(D10:D17,D8)/1000</f>
        <v>1106.8499999999999</v>
      </c>
      <c r="E40" s="129">
        <f>SUM(E10:E17,E8)/1000</f>
        <v>1070.25</v>
      </c>
      <c r="F40" s="172">
        <f t="shared" si="24"/>
        <v>3318.6</v>
      </c>
      <c r="G40" s="134">
        <f>SUM(G10:G17,G8)/1000</f>
        <v>1603.5</v>
      </c>
      <c r="H40" s="5">
        <f>SUM(H10:H17,H8)/1000</f>
        <v>1420.5</v>
      </c>
      <c r="I40" s="5">
        <f>SUM(I10:I17,I8)/1000</f>
        <v>1420.5</v>
      </c>
      <c r="J40" s="129">
        <f>SUM(J10:J17,J8)/1000</f>
        <v>1512</v>
      </c>
      <c r="K40" s="172">
        <f t="shared" si="26"/>
        <v>5956.5</v>
      </c>
      <c r="L40" s="134">
        <f>SUM(L10:L17,L8)/1000</f>
        <v>1753.5</v>
      </c>
      <c r="M40" s="5">
        <f>SUM(M10:M17,M8)/1000</f>
        <v>2028</v>
      </c>
      <c r="N40" s="5">
        <f>SUM(N10:N17,N8)/1000</f>
        <v>2165.25</v>
      </c>
      <c r="O40" s="129">
        <f>SUM(O10:O17,O8)/1000</f>
        <v>2165.25</v>
      </c>
      <c r="P40" s="172">
        <f t="shared" si="28"/>
        <v>8112</v>
      </c>
      <c r="Q40" s="162">
        <f t="shared" si="29"/>
        <v>17387.099999999999</v>
      </c>
    </row>
    <row r="41" spans="1:17" ht="4.5" customHeight="1" x14ac:dyDescent="0.25">
      <c r="A41" s="168"/>
      <c r="B41" s="11"/>
      <c r="C41" s="11"/>
      <c r="D41" s="11"/>
      <c r="E41" s="11"/>
      <c r="F41" s="172"/>
      <c r="G41" s="11"/>
      <c r="H41" s="11"/>
      <c r="I41" s="11"/>
      <c r="J41" s="11"/>
      <c r="K41" s="172"/>
      <c r="L41" s="11"/>
      <c r="M41" s="11"/>
      <c r="N41" s="11"/>
      <c r="O41" s="11"/>
      <c r="P41" s="172"/>
      <c r="Q41" s="163"/>
    </row>
    <row r="42" spans="1:17" s="1" customFormat="1" x14ac:dyDescent="0.25">
      <c r="A42" s="167" t="s">
        <v>76</v>
      </c>
      <c r="B42" s="165">
        <f>B34-B36</f>
        <v>-612.48</v>
      </c>
      <c r="C42" s="10">
        <f>C34-C36</f>
        <v>-1051.76</v>
      </c>
      <c r="D42" s="10">
        <f>D34-D36</f>
        <v>451.8900000000001</v>
      </c>
      <c r="E42" s="170">
        <f>E34-E36</f>
        <v>244.49</v>
      </c>
      <c r="F42" s="172">
        <f t="shared" ref="F42:F44" si="30">SUM(B42:E42)</f>
        <v>-967.8599999999999</v>
      </c>
      <c r="G42" s="165">
        <f>G34-G36</f>
        <v>3131.1624000000002</v>
      </c>
      <c r="H42" s="10">
        <f>H34-H36</f>
        <v>2045.3624</v>
      </c>
      <c r="I42" s="10">
        <f>I34-I36</f>
        <v>2045.3624</v>
      </c>
      <c r="J42" s="170">
        <f>J34-J36</f>
        <v>2588.2623999999996</v>
      </c>
      <c r="K42" s="172">
        <f t="shared" ref="K42:K44" si="31">SUM(G42:J42)</f>
        <v>9810.1496000000006</v>
      </c>
      <c r="L42" s="165">
        <f>L34-L36</f>
        <v>3043.8070080000002</v>
      </c>
      <c r="M42" s="10">
        <f>M34-M36</f>
        <v>4748.6350079999993</v>
      </c>
      <c r="N42" s="10">
        <f>N34-N36</f>
        <v>5601.049008</v>
      </c>
      <c r="O42" s="170">
        <f>O34-O36</f>
        <v>5601.049008</v>
      </c>
      <c r="P42" s="172">
        <f t="shared" si="28"/>
        <v>18994.540031999997</v>
      </c>
      <c r="Q42" s="162">
        <f t="shared" si="29"/>
        <v>27836.829631999997</v>
      </c>
    </row>
    <row r="43" spans="1:17" x14ac:dyDescent="0.25">
      <c r="A43" s="168" t="s">
        <v>77</v>
      </c>
      <c r="B43" s="134">
        <f>IF(B42&lt;0,0,IF('Данные Заявителя'!$B$8='Данные Заявителя'!$A$88,B42*0.2,IF('Данные Заявителя'!$B$8='Данные Заявителя'!$A$89,B34*0.06,B42*0.15)))</f>
        <v>0</v>
      </c>
      <c r="C43" s="5">
        <f>IF(C42&lt;0,0,IF('Данные Заявителя'!$B$8='Данные Заявителя'!$A$88,C42*0.2,IF('Данные Заявителя'!$B$8='Данные Заявителя'!$A$89,C34*0.06,C42*0.15)))</f>
        <v>0</v>
      </c>
      <c r="D43" s="5">
        <f>IF(D42&lt;0,0,IF('Данные Заявителя'!$B$8='Данные Заявителя'!$A$88,D42*0.2,IF('Данные Заявителя'!$B$8='Данные Заявителя'!$A$89,D34*0.06,D42*0.15)))</f>
        <v>90.378000000000029</v>
      </c>
      <c r="E43" s="129">
        <f>IF(E42&lt;0,0,IF('Данные Заявителя'!$B$8='Данные Заявителя'!$A$88,E42*0.2,IF('Данные Заявителя'!$B$8='Данные Заявителя'!$A$89,E34*0.06,E42*0.15)))</f>
        <v>48.898000000000003</v>
      </c>
      <c r="F43" s="172">
        <f t="shared" si="30"/>
        <v>139.27600000000004</v>
      </c>
      <c r="G43" s="134">
        <f>IF(G42&lt;0,0,IF('Данные Заявителя'!$B$8='Данные Заявителя'!$A$88,G42*0.2,IF('Данные Заявителя'!$B$8='Данные Заявителя'!$A$89,G34*0.06,G42*0.15)))</f>
        <v>626.23248000000012</v>
      </c>
      <c r="H43" s="5">
        <f>IF(H42&lt;0,0,IF('Данные Заявителя'!$B$8='Данные Заявителя'!$A$88,H42*0.2,IF('Данные Заявителя'!$B$8='Данные Заявителя'!$A$89,H34*0.06,H42*0.15)))</f>
        <v>409.07248000000004</v>
      </c>
      <c r="I43" s="5">
        <f>IF(I42&lt;0,0,IF('Данные Заявителя'!$B$8='Данные Заявителя'!$A$88,I42*0.2,IF('Данные Заявителя'!$B$8='Данные Заявителя'!$A$89,I34*0.06,I42*0.15)))</f>
        <v>409.07248000000004</v>
      </c>
      <c r="J43" s="129">
        <f>IF(J42&lt;0,0,IF('Данные Заявителя'!$B$8='Данные Заявителя'!$A$88,J42*0.2,IF('Данные Заявителя'!$B$8='Данные Заявителя'!$A$89,J34*0.06,J42*0.15)))</f>
        <v>517.65247999999997</v>
      </c>
      <c r="K43" s="172">
        <f t="shared" si="31"/>
        <v>1962.0299200000002</v>
      </c>
      <c r="L43" s="134">
        <f>IF(L42&lt;0,0,IF('Данные Заявителя'!$B$8='Данные Заявителя'!$A$88,L42*0.2,IF('Данные Заявителя'!$B$8='Данные Заявителя'!$A$89,L34*0.06,L42*0.15)))</f>
        <v>608.76140160000011</v>
      </c>
      <c r="M43" s="5">
        <f>IF(M42&lt;0,0,IF('Данные Заявителя'!$B$8='Данные Заявителя'!$A$88,M42*0.2,IF('Данные Заявителя'!$B$8='Данные Заявителя'!$A$89,M34*0.06,M42*0.15)))</f>
        <v>949.72700159999988</v>
      </c>
      <c r="N43" s="5">
        <f>IF(N42&lt;0,0,IF('Данные Заявителя'!$B$8='Данные Заявителя'!$A$88,N42*0.2,IF('Данные Заявителя'!$B$8='Данные Заявителя'!$A$89,N34*0.06,N42*0.15)))</f>
        <v>1120.2098016</v>
      </c>
      <c r="O43" s="129">
        <f>IF(O42&lt;0,0,IF('Данные Заявителя'!$B$8='Данные Заявителя'!$A$88,O42*0.2,IF('Данные Заявителя'!$B$8='Данные Заявителя'!$A$89,O34*0.06,O42*0.15)))</f>
        <v>1120.2098016</v>
      </c>
      <c r="P43" s="172">
        <f t="shared" si="28"/>
        <v>3798.9080064</v>
      </c>
      <c r="Q43" s="162">
        <f t="shared" si="29"/>
        <v>5900.2139263999998</v>
      </c>
    </row>
    <row r="44" spans="1:17" s="1" customFormat="1" ht="15.75" thickBot="1" x14ac:dyDescent="0.3">
      <c r="A44" s="169" t="s">
        <v>78</v>
      </c>
      <c r="B44" s="166">
        <f>B42-B43</f>
        <v>-612.48</v>
      </c>
      <c r="C44" s="164">
        <f t="shared" ref="C44:E44" si="32">C42-C43</f>
        <v>-1051.76</v>
      </c>
      <c r="D44" s="164">
        <f t="shared" si="32"/>
        <v>361.51200000000006</v>
      </c>
      <c r="E44" s="171">
        <f t="shared" si="32"/>
        <v>195.59200000000001</v>
      </c>
      <c r="F44" s="173">
        <f t="shared" si="30"/>
        <v>-1107.136</v>
      </c>
      <c r="G44" s="166">
        <f>G42-G43</f>
        <v>2504.92992</v>
      </c>
      <c r="H44" s="164">
        <f t="shared" ref="H44" si="33">H42-H43</f>
        <v>1636.2899199999999</v>
      </c>
      <c r="I44" s="164">
        <f t="shared" ref="I44" si="34">I42-I43</f>
        <v>1636.2899199999999</v>
      </c>
      <c r="J44" s="171">
        <f t="shared" ref="J44" si="35">J42-J43</f>
        <v>2070.6099199999999</v>
      </c>
      <c r="K44" s="173">
        <f t="shared" si="31"/>
        <v>7848.1196799999998</v>
      </c>
      <c r="L44" s="166">
        <f>L42-L43</f>
        <v>2435.0456064</v>
      </c>
      <c r="M44" s="164">
        <f t="shared" ref="M44" si="36">M42-M43</f>
        <v>3798.9080063999995</v>
      </c>
      <c r="N44" s="164">
        <f t="shared" ref="N44" si="37">N42-N43</f>
        <v>4480.8392064</v>
      </c>
      <c r="O44" s="171">
        <f t="shared" ref="O44" si="38">O42-O43</f>
        <v>4480.8392064</v>
      </c>
      <c r="P44" s="173">
        <f t="shared" si="28"/>
        <v>15195.6320256</v>
      </c>
      <c r="Q44" s="174">
        <f t="shared" si="29"/>
        <v>21936.615705600001</v>
      </c>
    </row>
    <row r="47" spans="1:17" ht="15.75" thickBot="1" x14ac:dyDescent="0.3">
      <c r="A47" s="1" t="s">
        <v>224</v>
      </c>
    </row>
    <row r="48" spans="1:17" ht="15" customHeight="1" x14ac:dyDescent="0.25">
      <c r="A48" s="253" t="s">
        <v>112</v>
      </c>
      <c r="B48" s="255" t="s">
        <v>83</v>
      </c>
      <c r="C48" s="252"/>
      <c r="D48" s="252"/>
      <c r="E48" s="252"/>
      <c r="F48" s="252" t="s">
        <v>85</v>
      </c>
      <c r="G48" s="252"/>
      <c r="H48" s="252"/>
      <c r="I48" s="252"/>
      <c r="J48" s="252" t="s">
        <v>86</v>
      </c>
      <c r="K48" s="252"/>
      <c r="L48" s="252"/>
      <c r="M48" s="252"/>
      <c r="N48" s="247" t="s">
        <v>89</v>
      </c>
    </row>
    <row r="49" spans="1:14" x14ac:dyDescent="0.25">
      <c r="A49" s="254"/>
      <c r="B49" s="116" t="s">
        <v>79</v>
      </c>
      <c r="C49" s="4" t="s">
        <v>80</v>
      </c>
      <c r="D49" s="4" t="s">
        <v>81</v>
      </c>
      <c r="E49" s="4" t="s">
        <v>82</v>
      </c>
      <c r="F49" s="4" t="s">
        <v>79</v>
      </c>
      <c r="G49" s="4" t="s">
        <v>80</v>
      </c>
      <c r="H49" s="4" t="s">
        <v>81</v>
      </c>
      <c r="I49" s="4" t="s">
        <v>82</v>
      </c>
      <c r="J49" s="4" t="s">
        <v>79</v>
      </c>
      <c r="K49" s="4" t="s">
        <v>80</v>
      </c>
      <c r="L49" s="4" t="s">
        <v>81</v>
      </c>
      <c r="M49" s="4" t="s">
        <v>82</v>
      </c>
      <c r="N49" s="248"/>
    </row>
    <row r="50" spans="1:14" x14ac:dyDescent="0.25">
      <c r="A50" s="189" t="s">
        <v>91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5"/>
      <c r="N50" s="176"/>
    </row>
    <row r="51" spans="1:14" x14ac:dyDescent="0.25">
      <c r="A51" s="190" t="s">
        <v>92</v>
      </c>
      <c r="B51" s="183">
        <f>B52</f>
        <v>0</v>
      </c>
      <c r="C51" s="16">
        <f t="shared" ref="C51:M51" si="39">C52</f>
        <v>610</v>
      </c>
      <c r="D51" s="16">
        <f t="shared" si="39"/>
        <v>2379</v>
      </c>
      <c r="E51" s="16">
        <f t="shared" si="39"/>
        <v>2135</v>
      </c>
      <c r="F51" s="16">
        <f t="shared" si="39"/>
        <v>5709.6</v>
      </c>
      <c r="G51" s="16">
        <f t="shared" si="39"/>
        <v>4440.8</v>
      </c>
      <c r="H51" s="16">
        <f t="shared" si="39"/>
        <v>4440.8</v>
      </c>
      <c r="I51" s="16">
        <f t="shared" si="39"/>
        <v>5075.2</v>
      </c>
      <c r="J51" s="16">
        <f t="shared" si="39"/>
        <v>5937.9840000000004</v>
      </c>
      <c r="K51" s="16">
        <f t="shared" si="39"/>
        <v>7917.3119999999999</v>
      </c>
      <c r="L51" s="16">
        <f t="shared" si="39"/>
        <v>8906.9760000000006</v>
      </c>
      <c r="M51" s="16">
        <f t="shared" si="39"/>
        <v>8906.9760000000006</v>
      </c>
      <c r="N51" s="177">
        <f>SUM(B51:M51)</f>
        <v>56459.648000000008</v>
      </c>
    </row>
    <row r="52" spans="1:14" x14ac:dyDescent="0.25">
      <c r="A52" s="191" t="s">
        <v>113</v>
      </c>
      <c r="B52" s="184">
        <f>B34</f>
        <v>0</v>
      </c>
      <c r="C52" s="17">
        <f>C34</f>
        <v>610</v>
      </c>
      <c r="D52" s="17">
        <f>D34</f>
        <v>2379</v>
      </c>
      <c r="E52" s="17">
        <f>E34</f>
        <v>2135</v>
      </c>
      <c r="F52" s="17">
        <f>G34</f>
        <v>5709.6</v>
      </c>
      <c r="G52" s="17">
        <f>H34</f>
        <v>4440.8</v>
      </c>
      <c r="H52" s="17">
        <f>I34</f>
        <v>4440.8</v>
      </c>
      <c r="I52" s="17">
        <f>J34</f>
        <v>5075.2</v>
      </c>
      <c r="J52" s="17">
        <f>L34</f>
        <v>5937.9840000000004</v>
      </c>
      <c r="K52" s="17">
        <f>M34</f>
        <v>7917.3119999999999</v>
      </c>
      <c r="L52" s="17">
        <f>N34</f>
        <v>8906.9760000000006</v>
      </c>
      <c r="M52" s="17">
        <f>O34</f>
        <v>8906.9760000000006</v>
      </c>
      <c r="N52" s="178">
        <f t="shared" ref="N52:N70" si="40">SUM(B52:M52)</f>
        <v>56459.648000000008</v>
      </c>
    </row>
    <row r="53" spans="1:14" x14ac:dyDescent="0.25">
      <c r="A53" s="190" t="s">
        <v>93</v>
      </c>
      <c r="B53" s="183">
        <f>B54+B55</f>
        <v>612.48</v>
      </c>
      <c r="C53" s="16">
        <f t="shared" ref="C53:M53" si="41">C54+C55</f>
        <v>1661.76</v>
      </c>
      <c r="D53" s="16">
        <f t="shared" si="41"/>
        <v>2017.4879999999998</v>
      </c>
      <c r="E53" s="16">
        <f t="shared" si="41"/>
        <v>1939.4079999999999</v>
      </c>
      <c r="F53" s="16">
        <f t="shared" si="41"/>
        <v>3204.6700800000003</v>
      </c>
      <c r="G53" s="16">
        <f t="shared" si="41"/>
        <v>2804.51008</v>
      </c>
      <c r="H53" s="16">
        <f t="shared" si="41"/>
        <v>2804.51008</v>
      </c>
      <c r="I53" s="16">
        <f t="shared" si="41"/>
        <v>3004.5900799999999</v>
      </c>
      <c r="J53" s="16">
        <f t="shared" si="41"/>
        <v>3502.9383936000004</v>
      </c>
      <c r="K53" s="16">
        <f t="shared" si="41"/>
        <v>4118.4039935999999</v>
      </c>
      <c r="L53" s="16">
        <f t="shared" si="41"/>
        <v>4426.1367936000006</v>
      </c>
      <c r="M53" s="16">
        <f t="shared" si="41"/>
        <v>4426.1367936000006</v>
      </c>
      <c r="N53" s="177">
        <f t="shared" si="40"/>
        <v>34523.0322944</v>
      </c>
    </row>
    <row r="54" spans="1:14" x14ac:dyDescent="0.25">
      <c r="A54" s="191" t="s">
        <v>114</v>
      </c>
      <c r="B54" s="184">
        <f>B36</f>
        <v>612.48</v>
      </c>
      <c r="C54" s="17">
        <f t="shared" ref="C54:N54" si="42">C36</f>
        <v>1661.76</v>
      </c>
      <c r="D54" s="17">
        <f t="shared" si="42"/>
        <v>1927.11</v>
      </c>
      <c r="E54" s="17">
        <f t="shared" si="42"/>
        <v>1890.51</v>
      </c>
      <c r="F54" s="17">
        <f>G36</f>
        <v>2578.4376000000002</v>
      </c>
      <c r="G54" s="17">
        <f>H36</f>
        <v>2395.4376000000002</v>
      </c>
      <c r="H54" s="17">
        <f>I36</f>
        <v>2395.4376000000002</v>
      </c>
      <c r="I54" s="17">
        <f>J36</f>
        <v>2486.9376000000002</v>
      </c>
      <c r="J54" s="17">
        <f>L36</f>
        <v>2894.1769920000002</v>
      </c>
      <c r="K54" s="17">
        <f>M36</f>
        <v>3168.6769920000002</v>
      </c>
      <c r="L54" s="17">
        <f>N36</f>
        <v>3305.9269920000002</v>
      </c>
      <c r="M54" s="17">
        <f>O36</f>
        <v>3305.9269920000002</v>
      </c>
      <c r="N54" s="178">
        <f t="shared" si="42"/>
        <v>3305.9269920000002</v>
      </c>
    </row>
    <row r="55" spans="1:14" x14ac:dyDescent="0.25">
      <c r="A55" s="192" t="s">
        <v>94</v>
      </c>
      <c r="B55" s="184">
        <f>B43</f>
        <v>0</v>
      </c>
      <c r="C55" s="17">
        <f t="shared" ref="C55:E55" si="43">C43</f>
        <v>0</v>
      </c>
      <c r="D55" s="17">
        <f t="shared" si="43"/>
        <v>90.378000000000029</v>
      </c>
      <c r="E55" s="17">
        <f t="shared" si="43"/>
        <v>48.898000000000003</v>
      </c>
      <c r="F55" s="17">
        <f>G43</f>
        <v>626.23248000000012</v>
      </c>
      <c r="G55" s="17">
        <f t="shared" ref="G55:I55" si="44">H43</f>
        <v>409.07248000000004</v>
      </c>
      <c r="H55" s="17">
        <f t="shared" si="44"/>
        <v>409.07248000000004</v>
      </c>
      <c r="I55" s="17">
        <f t="shared" si="44"/>
        <v>517.65247999999997</v>
      </c>
      <c r="J55" s="17">
        <f>L43</f>
        <v>608.76140160000011</v>
      </c>
      <c r="K55" s="17">
        <f t="shared" ref="K55:M55" si="45">M43</f>
        <v>949.72700159999988</v>
      </c>
      <c r="L55" s="17">
        <f t="shared" si="45"/>
        <v>1120.2098016</v>
      </c>
      <c r="M55" s="17">
        <f t="shared" si="45"/>
        <v>1120.2098016</v>
      </c>
      <c r="N55" s="178">
        <f t="shared" si="40"/>
        <v>5900.2139263999998</v>
      </c>
    </row>
    <row r="56" spans="1:14" x14ac:dyDescent="0.25">
      <c r="A56" s="190" t="s">
        <v>95</v>
      </c>
      <c r="B56" s="183">
        <f>B51-B53</f>
        <v>-612.48</v>
      </c>
      <c r="C56" s="16">
        <f t="shared" ref="C56:M56" si="46">C51-C53</f>
        <v>-1051.76</v>
      </c>
      <c r="D56" s="16">
        <f t="shared" si="46"/>
        <v>361.51200000000017</v>
      </c>
      <c r="E56" s="16">
        <f t="shared" si="46"/>
        <v>195.5920000000001</v>
      </c>
      <c r="F56" s="16">
        <f t="shared" si="46"/>
        <v>2504.92992</v>
      </c>
      <c r="G56" s="16">
        <f t="shared" si="46"/>
        <v>1636.2899200000002</v>
      </c>
      <c r="H56" s="16">
        <f t="shared" si="46"/>
        <v>1636.2899200000002</v>
      </c>
      <c r="I56" s="16">
        <f t="shared" si="46"/>
        <v>2070.6099199999999</v>
      </c>
      <c r="J56" s="16">
        <f t="shared" si="46"/>
        <v>2435.0456064</v>
      </c>
      <c r="K56" s="16">
        <f t="shared" si="46"/>
        <v>3798.9080064</v>
      </c>
      <c r="L56" s="16">
        <f t="shared" si="46"/>
        <v>4480.8392064</v>
      </c>
      <c r="M56" s="16">
        <f t="shared" si="46"/>
        <v>4480.8392064</v>
      </c>
      <c r="N56" s="177">
        <f t="shared" si="40"/>
        <v>21936.615705600001</v>
      </c>
    </row>
    <row r="57" spans="1:14" x14ac:dyDescent="0.25">
      <c r="A57" s="189" t="s">
        <v>96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76"/>
    </row>
    <row r="58" spans="1:14" x14ac:dyDescent="0.25">
      <c r="A58" s="190" t="s">
        <v>92</v>
      </c>
      <c r="B58" s="185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9">
        <v>0</v>
      </c>
      <c r="M58" s="19">
        <v>0</v>
      </c>
      <c r="N58" s="179">
        <f t="shared" si="40"/>
        <v>0</v>
      </c>
    </row>
    <row r="59" spans="1:14" x14ac:dyDescent="0.25">
      <c r="A59" s="190" t="s">
        <v>93</v>
      </c>
      <c r="B59" s="186">
        <f>B60</f>
        <v>2000</v>
      </c>
      <c r="C59" s="20">
        <f t="shared" ref="C59:M59" si="47">C60</f>
        <v>0</v>
      </c>
      <c r="D59" s="20">
        <f t="shared" si="47"/>
        <v>0</v>
      </c>
      <c r="E59" s="20">
        <f t="shared" si="47"/>
        <v>0</v>
      </c>
      <c r="F59" s="20">
        <f t="shared" si="47"/>
        <v>0</v>
      </c>
      <c r="G59" s="20">
        <f t="shared" si="47"/>
        <v>0</v>
      </c>
      <c r="H59" s="20">
        <f t="shared" si="47"/>
        <v>0</v>
      </c>
      <c r="I59" s="20">
        <f t="shared" si="47"/>
        <v>0</v>
      </c>
      <c r="J59" s="20">
        <f t="shared" si="47"/>
        <v>0</v>
      </c>
      <c r="K59" s="20">
        <f t="shared" si="47"/>
        <v>0</v>
      </c>
      <c r="L59" s="20">
        <f t="shared" si="47"/>
        <v>0</v>
      </c>
      <c r="M59" s="20">
        <f t="shared" si="47"/>
        <v>0</v>
      </c>
      <c r="N59" s="180">
        <f t="shared" si="40"/>
        <v>2000</v>
      </c>
    </row>
    <row r="60" spans="1:14" x14ac:dyDescent="0.25">
      <c r="A60" s="191" t="s">
        <v>97</v>
      </c>
      <c r="B60" s="187">
        <f>SUM('Данные Заявителя'!C65:E71)/1000</f>
        <v>2000</v>
      </c>
      <c r="C60" s="21">
        <f>SUM('Данные Заявителя'!F65:H71)/1000</f>
        <v>0</v>
      </c>
      <c r="D60" s="21">
        <f>SUM('Данные Заявителя'!I65:K71)/1000</f>
        <v>0</v>
      </c>
      <c r="E60" s="21">
        <f>SUM('Данные Заявителя'!L65:N71)</f>
        <v>0</v>
      </c>
      <c r="F60" s="21">
        <f>SUM('Данные Заявителя'!O65:Q71)/1000</f>
        <v>0</v>
      </c>
      <c r="G60" s="21">
        <f>SUM('Данные Заявителя'!R65:T71)</f>
        <v>0</v>
      </c>
      <c r="H60" s="21">
        <f>SUM('Данные Заявителя'!U65:W71)</f>
        <v>0</v>
      </c>
      <c r="I60" s="21">
        <f>SUM('Данные Заявителя'!X65:Z71)</f>
        <v>0</v>
      </c>
      <c r="J60" s="21">
        <f>SUM('Данные Заявителя'!AA65:AC71)</f>
        <v>0</v>
      </c>
      <c r="K60" s="21">
        <f>SUM('Данные Заявителя'!AD65:AF71)</f>
        <v>0</v>
      </c>
      <c r="L60" s="21">
        <f>SUM('Данные Заявителя'!AG65:AI71)</f>
        <v>0</v>
      </c>
      <c r="M60" s="21">
        <f>SUM('Данные Заявителя'!AJ65:AL71)</f>
        <v>0</v>
      </c>
      <c r="N60" s="181">
        <f t="shared" si="40"/>
        <v>2000</v>
      </c>
    </row>
    <row r="61" spans="1:14" x14ac:dyDescent="0.25">
      <c r="A61" s="190" t="s">
        <v>98</v>
      </c>
      <c r="B61" s="186">
        <f>B58-B59</f>
        <v>-2000</v>
      </c>
      <c r="C61" s="20">
        <f t="shared" ref="C61:M61" si="48">C58-C59</f>
        <v>0</v>
      </c>
      <c r="D61" s="20">
        <f t="shared" si="48"/>
        <v>0</v>
      </c>
      <c r="E61" s="20">
        <f t="shared" si="48"/>
        <v>0</v>
      </c>
      <c r="F61" s="20">
        <f t="shared" si="48"/>
        <v>0</v>
      </c>
      <c r="G61" s="20">
        <f t="shared" si="48"/>
        <v>0</v>
      </c>
      <c r="H61" s="20">
        <f t="shared" si="48"/>
        <v>0</v>
      </c>
      <c r="I61" s="20">
        <f t="shared" si="48"/>
        <v>0</v>
      </c>
      <c r="J61" s="20">
        <f t="shared" si="48"/>
        <v>0</v>
      </c>
      <c r="K61" s="20">
        <f t="shared" si="48"/>
        <v>0</v>
      </c>
      <c r="L61" s="20">
        <f t="shared" si="48"/>
        <v>0</v>
      </c>
      <c r="M61" s="20">
        <f t="shared" si="48"/>
        <v>0</v>
      </c>
      <c r="N61" s="180">
        <f t="shared" si="40"/>
        <v>-2000</v>
      </c>
    </row>
    <row r="62" spans="1:14" x14ac:dyDescent="0.25">
      <c r="A62" s="189" t="s">
        <v>99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5"/>
      <c r="M62" s="15"/>
      <c r="N62" s="176"/>
    </row>
    <row r="63" spans="1:14" x14ac:dyDescent="0.25">
      <c r="A63" s="190" t="s">
        <v>92</v>
      </c>
      <c r="B63" s="186">
        <f>SUM(B64:B65)</f>
        <v>0</v>
      </c>
      <c r="C63" s="20">
        <f t="shared" ref="C63:M63" si="49">SUM(C64:C65)</f>
        <v>0</v>
      </c>
      <c r="D63" s="20">
        <f t="shared" si="49"/>
        <v>0</v>
      </c>
      <c r="E63" s="20">
        <f t="shared" si="49"/>
        <v>0</v>
      </c>
      <c r="F63" s="20">
        <f t="shared" si="49"/>
        <v>0</v>
      </c>
      <c r="G63" s="20">
        <f t="shared" si="49"/>
        <v>0</v>
      </c>
      <c r="H63" s="20">
        <f t="shared" si="49"/>
        <v>0</v>
      </c>
      <c r="I63" s="20">
        <f t="shared" si="49"/>
        <v>0</v>
      </c>
      <c r="J63" s="20">
        <f t="shared" si="49"/>
        <v>0</v>
      </c>
      <c r="K63" s="20">
        <f t="shared" si="49"/>
        <v>0</v>
      </c>
      <c r="L63" s="20">
        <f t="shared" si="49"/>
        <v>0</v>
      </c>
      <c r="M63" s="20">
        <f t="shared" si="49"/>
        <v>0</v>
      </c>
      <c r="N63" s="180">
        <f t="shared" si="40"/>
        <v>0</v>
      </c>
    </row>
    <row r="64" spans="1:14" x14ac:dyDescent="0.25">
      <c r="A64" s="191" t="s">
        <v>117</v>
      </c>
      <c r="B64" s="187">
        <f>'Данные Заявителя'!B80/1000</f>
        <v>0</v>
      </c>
      <c r="C64" s="21">
        <f>'Данные Заявителя'!C80/1000</f>
        <v>0</v>
      </c>
      <c r="D64" s="21">
        <f>'Данные Заявителя'!D80/1000</f>
        <v>0</v>
      </c>
      <c r="E64" s="21">
        <f>'Данные Заявителя'!E80/1000</f>
        <v>0</v>
      </c>
      <c r="F64" s="21">
        <f>'Данные Заявителя'!F80/1000</f>
        <v>0</v>
      </c>
      <c r="G64" s="21">
        <f>'Данные Заявителя'!G80/1000</f>
        <v>0</v>
      </c>
      <c r="H64" s="21">
        <f>'Данные Заявителя'!H80/1000</f>
        <v>0</v>
      </c>
      <c r="I64" s="21">
        <f>'Данные Заявителя'!I80/1000</f>
        <v>0</v>
      </c>
      <c r="J64" s="21">
        <f>'Данные Заявителя'!J80/1000</f>
        <v>0</v>
      </c>
      <c r="K64" s="21">
        <f>'Данные Заявителя'!K80/1000</f>
        <v>0</v>
      </c>
      <c r="L64" s="21">
        <f>'Данные Заявителя'!L80/1000</f>
        <v>0</v>
      </c>
      <c r="M64" s="21">
        <f>'Данные Заявителя'!M80/1000</f>
        <v>0</v>
      </c>
      <c r="N64" s="181">
        <f t="shared" si="40"/>
        <v>0</v>
      </c>
    </row>
    <row r="65" spans="1:14" x14ac:dyDescent="0.25">
      <c r="A65" s="191" t="s">
        <v>115</v>
      </c>
      <c r="B65" s="187">
        <f>'Данные Заявителя'!B20/1000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19">
        <v>0</v>
      </c>
      <c r="M65" s="19">
        <v>0</v>
      </c>
      <c r="N65" s="179">
        <f t="shared" si="40"/>
        <v>0</v>
      </c>
    </row>
    <row r="66" spans="1:14" x14ac:dyDescent="0.25">
      <c r="A66" s="190" t="s">
        <v>93</v>
      </c>
      <c r="B66" s="186">
        <f>SUM(B67:B68)</f>
        <v>0</v>
      </c>
      <c r="C66" s="20">
        <f t="shared" ref="C66:M66" si="50">SUM(C67:C68)</f>
        <v>0</v>
      </c>
      <c r="D66" s="20">
        <f t="shared" si="50"/>
        <v>0</v>
      </c>
      <c r="E66" s="20">
        <f t="shared" si="50"/>
        <v>0</v>
      </c>
      <c r="F66" s="20">
        <f t="shared" si="50"/>
        <v>0</v>
      </c>
      <c r="G66" s="20">
        <f t="shared" si="50"/>
        <v>0</v>
      </c>
      <c r="H66" s="20">
        <f t="shared" si="50"/>
        <v>0</v>
      </c>
      <c r="I66" s="20">
        <f t="shared" si="50"/>
        <v>0</v>
      </c>
      <c r="J66" s="20">
        <f t="shared" si="50"/>
        <v>0</v>
      </c>
      <c r="K66" s="20">
        <f t="shared" si="50"/>
        <v>0</v>
      </c>
      <c r="L66" s="20">
        <f t="shared" si="50"/>
        <v>0</v>
      </c>
      <c r="M66" s="20">
        <f t="shared" si="50"/>
        <v>0</v>
      </c>
      <c r="N66" s="180">
        <f t="shared" si="40"/>
        <v>0</v>
      </c>
    </row>
    <row r="67" spans="1:14" x14ac:dyDescent="0.25">
      <c r="A67" s="193" t="s">
        <v>116</v>
      </c>
      <c r="B67" s="187">
        <f>SUM('Данные Заявителя'!B123:B125)</f>
        <v>0</v>
      </c>
      <c r="C67" s="21">
        <f>SUM('Данные Заявителя'!B126:B128)/1000</f>
        <v>0</v>
      </c>
      <c r="D67" s="21">
        <f>SUM('Данные Заявителя'!B129:B131)/1000</f>
        <v>0</v>
      </c>
      <c r="E67" s="21">
        <f>SUM('Данные Заявителя'!B132:B134)/1000</f>
        <v>0</v>
      </c>
      <c r="F67" s="21">
        <f>SUM('Данные Заявителя'!B135:B137)/1000</f>
        <v>0</v>
      </c>
      <c r="G67" s="21">
        <f>SUM('Данные Заявителя'!B138:B140)/1000</f>
        <v>0</v>
      </c>
      <c r="H67" s="21">
        <f>SUM('Данные Заявителя'!B141:B143)/1000</f>
        <v>0</v>
      </c>
      <c r="I67" s="21">
        <f>SUM('Данные Заявителя'!B144:B146)/1000</f>
        <v>0</v>
      </c>
      <c r="J67" s="21">
        <f>SUM('Данные Заявителя'!B147:B149)/1000</f>
        <v>0</v>
      </c>
      <c r="K67" s="21">
        <f>SUM('Данные Заявителя'!B150:B152)/1000</f>
        <v>0</v>
      </c>
      <c r="L67" s="21">
        <f>SUM('Данные Заявителя'!B153:B155)/1000</f>
        <v>0</v>
      </c>
      <c r="M67" s="21">
        <f>SUM('Данные Заявителя'!B156:B158)/1000</f>
        <v>0</v>
      </c>
      <c r="N67" s="181">
        <f t="shared" si="40"/>
        <v>0</v>
      </c>
    </row>
    <row r="68" spans="1:14" x14ac:dyDescent="0.25">
      <c r="A68" s="194" t="s">
        <v>118</v>
      </c>
      <c r="B68" s="187">
        <f>'Данные Заявителя'!B81/1000</f>
        <v>0</v>
      </c>
      <c r="C68" s="21">
        <f>'Данные Заявителя'!C81/1000</f>
        <v>0</v>
      </c>
      <c r="D68" s="21">
        <f>'Данные Заявителя'!D81/1000</f>
        <v>0</v>
      </c>
      <c r="E68" s="21">
        <f>'Данные Заявителя'!E81/1000</f>
        <v>0</v>
      </c>
      <c r="F68" s="21">
        <f>'Данные Заявителя'!F81/1000</f>
        <v>0</v>
      </c>
      <c r="G68" s="21">
        <f>'Данные Заявителя'!G81/1000</f>
        <v>0</v>
      </c>
      <c r="H68" s="21">
        <f>'Данные Заявителя'!H81/1000</f>
        <v>0</v>
      </c>
      <c r="I68" s="21">
        <f>'Данные Заявителя'!I81/1000</f>
        <v>0</v>
      </c>
      <c r="J68" s="21">
        <f>'Данные Заявителя'!J81/1000</f>
        <v>0</v>
      </c>
      <c r="K68" s="21">
        <f>'Данные Заявителя'!K81/1000</f>
        <v>0</v>
      </c>
      <c r="L68" s="21">
        <f>'Данные Заявителя'!L81/1000</f>
        <v>0</v>
      </c>
      <c r="M68" s="21">
        <f>'Данные Заявителя'!M81/1000</f>
        <v>0</v>
      </c>
      <c r="N68" s="181">
        <f t="shared" si="40"/>
        <v>0</v>
      </c>
    </row>
    <row r="69" spans="1:14" x14ac:dyDescent="0.25">
      <c r="A69" s="190" t="s">
        <v>100</v>
      </c>
      <c r="B69" s="186">
        <f>B63-B66</f>
        <v>0</v>
      </c>
      <c r="C69" s="20">
        <f t="shared" ref="C69:M69" si="51">C63-C66</f>
        <v>0</v>
      </c>
      <c r="D69" s="20">
        <f t="shared" si="51"/>
        <v>0</v>
      </c>
      <c r="E69" s="20">
        <f t="shared" si="51"/>
        <v>0</v>
      </c>
      <c r="F69" s="20">
        <f t="shared" si="51"/>
        <v>0</v>
      </c>
      <c r="G69" s="20">
        <f t="shared" si="51"/>
        <v>0</v>
      </c>
      <c r="H69" s="20">
        <f t="shared" si="51"/>
        <v>0</v>
      </c>
      <c r="I69" s="20">
        <f t="shared" si="51"/>
        <v>0</v>
      </c>
      <c r="J69" s="20">
        <f t="shared" si="51"/>
        <v>0</v>
      </c>
      <c r="K69" s="20">
        <f t="shared" si="51"/>
        <v>0</v>
      </c>
      <c r="L69" s="20">
        <f t="shared" si="51"/>
        <v>0</v>
      </c>
      <c r="M69" s="20">
        <f t="shared" si="51"/>
        <v>0</v>
      </c>
      <c r="N69" s="180">
        <f t="shared" si="40"/>
        <v>0</v>
      </c>
    </row>
    <row r="70" spans="1:14" x14ac:dyDescent="0.25">
      <c r="A70" s="195" t="s">
        <v>101</v>
      </c>
      <c r="B70" s="188">
        <f>B56+B61+B69</f>
        <v>-2612.48</v>
      </c>
      <c r="C70" s="23">
        <f t="shared" ref="C70:M70" si="52">C56+C61+C69</f>
        <v>-1051.76</v>
      </c>
      <c r="D70" s="23">
        <f t="shared" si="52"/>
        <v>361.51200000000017</v>
      </c>
      <c r="E70" s="23">
        <f t="shared" si="52"/>
        <v>195.5920000000001</v>
      </c>
      <c r="F70" s="23">
        <f t="shared" si="52"/>
        <v>2504.92992</v>
      </c>
      <c r="G70" s="23">
        <f t="shared" si="52"/>
        <v>1636.2899200000002</v>
      </c>
      <c r="H70" s="23">
        <f t="shared" si="52"/>
        <v>1636.2899200000002</v>
      </c>
      <c r="I70" s="23">
        <f t="shared" si="52"/>
        <v>2070.6099199999999</v>
      </c>
      <c r="J70" s="23">
        <f t="shared" si="52"/>
        <v>2435.0456064</v>
      </c>
      <c r="K70" s="23">
        <f t="shared" si="52"/>
        <v>3798.9080064</v>
      </c>
      <c r="L70" s="23">
        <f t="shared" si="52"/>
        <v>4480.8392064</v>
      </c>
      <c r="M70" s="23">
        <f t="shared" si="52"/>
        <v>4480.8392064</v>
      </c>
      <c r="N70" s="182">
        <f t="shared" si="40"/>
        <v>19936.615705600001</v>
      </c>
    </row>
    <row r="71" spans="1:14" x14ac:dyDescent="0.25">
      <c r="A71" s="192" t="s">
        <v>102</v>
      </c>
      <c r="B71" s="187">
        <f>'Данные Заявителя'!B26/1000</f>
        <v>5000</v>
      </c>
      <c r="C71" s="21">
        <f>B72</f>
        <v>2387.52</v>
      </c>
      <c r="D71" s="21">
        <f t="shared" ref="D71:M71" si="53">C72</f>
        <v>1335.76</v>
      </c>
      <c r="E71" s="21">
        <f t="shared" si="53"/>
        <v>1697.2720000000002</v>
      </c>
      <c r="F71" s="21">
        <f t="shared" si="53"/>
        <v>1892.8640000000003</v>
      </c>
      <c r="G71" s="21">
        <f t="shared" si="53"/>
        <v>4397.7939200000001</v>
      </c>
      <c r="H71" s="21">
        <f t="shared" si="53"/>
        <v>6034.0838400000002</v>
      </c>
      <c r="I71" s="21">
        <f t="shared" si="53"/>
        <v>7670.3737600000004</v>
      </c>
      <c r="J71" s="21">
        <f t="shared" si="53"/>
        <v>9740.9836800000012</v>
      </c>
      <c r="K71" s="21">
        <f t="shared" si="53"/>
        <v>12176.0292864</v>
      </c>
      <c r="L71" s="21">
        <f t="shared" si="53"/>
        <v>15974.937292800001</v>
      </c>
      <c r="M71" s="21">
        <f t="shared" si="53"/>
        <v>20455.776499200001</v>
      </c>
      <c r="N71" s="181">
        <f>B71</f>
        <v>5000</v>
      </c>
    </row>
    <row r="72" spans="1:14" ht="15.75" thickBot="1" x14ac:dyDescent="0.3">
      <c r="A72" s="196" t="s">
        <v>103</v>
      </c>
      <c r="B72" s="197">
        <f>B71+B70</f>
        <v>2387.52</v>
      </c>
      <c r="C72" s="198">
        <f t="shared" ref="C72:M72" si="54">C71+C70</f>
        <v>1335.76</v>
      </c>
      <c r="D72" s="198">
        <f t="shared" si="54"/>
        <v>1697.2720000000002</v>
      </c>
      <c r="E72" s="198">
        <f t="shared" si="54"/>
        <v>1892.8640000000003</v>
      </c>
      <c r="F72" s="198">
        <f t="shared" si="54"/>
        <v>4397.7939200000001</v>
      </c>
      <c r="G72" s="198">
        <f t="shared" si="54"/>
        <v>6034.0838400000002</v>
      </c>
      <c r="H72" s="198">
        <f t="shared" si="54"/>
        <v>7670.3737600000004</v>
      </c>
      <c r="I72" s="198">
        <f t="shared" si="54"/>
        <v>9740.9836800000012</v>
      </c>
      <c r="J72" s="198">
        <f t="shared" si="54"/>
        <v>12176.0292864</v>
      </c>
      <c r="K72" s="198">
        <f t="shared" si="54"/>
        <v>15974.937292800001</v>
      </c>
      <c r="L72" s="198">
        <f t="shared" si="54"/>
        <v>20455.776499200001</v>
      </c>
      <c r="M72" s="198">
        <f t="shared" si="54"/>
        <v>24936.615705600001</v>
      </c>
      <c r="N72" s="199">
        <f>M72</f>
        <v>24936.615705600001</v>
      </c>
    </row>
    <row r="73" spans="1:14" ht="27" thickBot="1" x14ac:dyDescent="0.3">
      <c r="A73" s="200" t="s">
        <v>104</v>
      </c>
      <c r="B73" s="201">
        <f>B70</f>
        <v>-2612.48</v>
      </c>
      <c r="C73" s="202">
        <f>B73+C70</f>
        <v>-3664.24</v>
      </c>
      <c r="D73" s="202">
        <f t="shared" ref="D73:M73" si="55">C73+D70</f>
        <v>-3302.7279999999996</v>
      </c>
      <c r="E73" s="202">
        <f t="shared" si="55"/>
        <v>-3107.1359999999995</v>
      </c>
      <c r="F73" s="202">
        <f t="shared" si="55"/>
        <v>-602.20607999999947</v>
      </c>
      <c r="G73" s="202">
        <f t="shared" si="55"/>
        <v>1034.0838400000007</v>
      </c>
      <c r="H73" s="202">
        <f t="shared" si="55"/>
        <v>2670.3737600000009</v>
      </c>
      <c r="I73" s="202">
        <f t="shared" si="55"/>
        <v>4740.9836800000012</v>
      </c>
      <c r="J73" s="202">
        <f t="shared" si="55"/>
        <v>7176.0292864000012</v>
      </c>
      <c r="K73" s="202">
        <f t="shared" si="55"/>
        <v>10974.937292800001</v>
      </c>
      <c r="L73" s="202">
        <f t="shared" si="55"/>
        <v>15455.776499200001</v>
      </c>
      <c r="M73" s="202">
        <f t="shared" si="55"/>
        <v>19936.615705600001</v>
      </c>
      <c r="N73" s="203"/>
    </row>
    <row r="76" spans="1:14" x14ac:dyDescent="0.25">
      <c r="A76" s="1" t="s">
        <v>225</v>
      </c>
    </row>
    <row r="77" spans="1:14" x14ac:dyDescent="0.25">
      <c r="A77" s="250" t="s">
        <v>112</v>
      </c>
      <c r="B77" s="249" t="s">
        <v>83</v>
      </c>
      <c r="C77" s="249"/>
      <c r="D77" s="249"/>
      <c r="E77" s="249"/>
      <c r="F77" s="249" t="s">
        <v>85</v>
      </c>
      <c r="G77" s="249"/>
      <c r="H77" s="249"/>
      <c r="I77" s="249"/>
      <c r="J77" s="249" t="s">
        <v>86</v>
      </c>
      <c r="K77" s="249"/>
      <c r="L77" s="249"/>
      <c r="M77" s="249"/>
    </row>
    <row r="78" spans="1:14" x14ac:dyDescent="0.25">
      <c r="A78" s="251"/>
      <c r="B78" s="4" t="s">
        <v>79</v>
      </c>
      <c r="C78" s="4" t="s">
        <v>80</v>
      </c>
      <c r="D78" s="4" t="s">
        <v>81</v>
      </c>
      <c r="E78" s="4" t="s">
        <v>82</v>
      </c>
      <c r="F78" s="4" t="s">
        <v>79</v>
      </c>
      <c r="G78" s="4" t="s">
        <v>80</v>
      </c>
      <c r="H78" s="4" t="s">
        <v>81</v>
      </c>
      <c r="I78" s="4" t="s">
        <v>82</v>
      </c>
      <c r="J78" s="4" t="s">
        <v>79</v>
      </c>
      <c r="K78" s="4" t="s">
        <v>80</v>
      </c>
      <c r="L78" s="4" t="s">
        <v>81</v>
      </c>
      <c r="M78" s="4" t="s">
        <v>82</v>
      </c>
    </row>
    <row r="79" spans="1:14" ht="30" x14ac:dyDescent="0.25">
      <c r="A79" s="24" t="s">
        <v>132</v>
      </c>
      <c r="B79" s="25">
        <f>B61</f>
        <v>-2000</v>
      </c>
      <c r="C79" s="25">
        <f t="shared" ref="C79:M79" si="56">C61</f>
        <v>0</v>
      </c>
      <c r="D79" s="25">
        <f t="shared" si="56"/>
        <v>0</v>
      </c>
      <c r="E79" s="25">
        <f t="shared" si="56"/>
        <v>0</v>
      </c>
      <c r="F79" s="25">
        <f t="shared" si="56"/>
        <v>0</v>
      </c>
      <c r="G79" s="25">
        <f t="shared" si="56"/>
        <v>0</v>
      </c>
      <c r="H79" s="25">
        <f t="shared" si="56"/>
        <v>0</v>
      </c>
      <c r="I79" s="25">
        <f t="shared" si="56"/>
        <v>0</v>
      </c>
      <c r="J79" s="25">
        <f t="shared" si="56"/>
        <v>0</v>
      </c>
      <c r="K79" s="25">
        <f t="shared" si="56"/>
        <v>0</v>
      </c>
      <c r="L79" s="25">
        <f t="shared" si="56"/>
        <v>0</v>
      </c>
      <c r="M79" s="25">
        <f t="shared" si="56"/>
        <v>0</v>
      </c>
    </row>
    <row r="80" spans="1:14" ht="30" x14ac:dyDescent="0.25">
      <c r="A80" s="24" t="s">
        <v>133</v>
      </c>
      <c r="B80" s="25">
        <f>B56</f>
        <v>-612.48</v>
      </c>
      <c r="C80" s="25">
        <f t="shared" ref="C80:M80" si="57">C56</f>
        <v>-1051.76</v>
      </c>
      <c r="D80" s="25">
        <f t="shared" si="57"/>
        <v>361.51200000000017</v>
      </c>
      <c r="E80" s="25">
        <f t="shared" si="57"/>
        <v>195.5920000000001</v>
      </c>
      <c r="F80" s="25">
        <f t="shared" si="57"/>
        <v>2504.92992</v>
      </c>
      <c r="G80" s="25">
        <f t="shared" si="57"/>
        <v>1636.2899200000002</v>
      </c>
      <c r="H80" s="25">
        <f t="shared" si="57"/>
        <v>1636.2899200000002</v>
      </c>
      <c r="I80" s="25">
        <f t="shared" si="57"/>
        <v>2070.6099199999999</v>
      </c>
      <c r="J80" s="25">
        <f t="shared" si="57"/>
        <v>2435.0456064</v>
      </c>
      <c r="K80" s="25">
        <f t="shared" si="57"/>
        <v>3798.9080064</v>
      </c>
      <c r="L80" s="25">
        <f t="shared" si="57"/>
        <v>4480.8392064</v>
      </c>
      <c r="M80" s="25">
        <f t="shared" si="57"/>
        <v>4480.8392064</v>
      </c>
    </row>
    <row r="81" spans="1:13" x14ac:dyDescent="0.25">
      <c r="A81" s="24" t="s">
        <v>134</v>
      </c>
      <c r="B81" s="25">
        <f>B79+B80</f>
        <v>-2612.48</v>
      </c>
      <c r="C81" s="25">
        <f t="shared" ref="C81:M81" si="58">C79+C80</f>
        <v>-1051.76</v>
      </c>
      <c r="D81" s="25">
        <f t="shared" si="58"/>
        <v>361.51200000000017</v>
      </c>
      <c r="E81" s="25">
        <f t="shared" si="58"/>
        <v>195.5920000000001</v>
      </c>
      <c r="F81" s="25">
        <f t="shared" si="58"/>
        <v>2504.92992</v>
      </c>
      <c r="G81" s="25">
        <f t="shared" si="58"/>
        <v>1636.2899200000002</v>
      </c>
      <c r="H81" s="25">
        <f t="shared" si="58"/>
        <v>1636.2899200000002</v>
      </c>
      <c r="I81" s="25">
        <f t="shared" si="58"/>
        <v>2070.6099199999999</v>
      </c>
      <c r="J81" s="25">
        <f t="shared" si="58"/>
        <v>2435.0456064</v>
      </c>
      <c r="K81" s="25">
        <f t="shared" si="58"/>
        <v>3798.9080064</v>
      </c>
      <c r="L81" s="25">
        <f t="shared" si="58"/>
        <v>4480.8392064</v>
      </c>
      <c r="M81" s="25">
        <f t="shared" si="58"/>
        <v>4480.8392064</v>
      </c>
    </row>
    <row r="82" spans="1:13" ht="30" x14ac:dyDescent="0.25">
      <c r="A82" s="24" t="s">
        <v>135</v>
      </c>
      <c r="B82" s="25">
        <f>B81</f>
        <v>-2612.48</v>
      </c>
      <c r="C82" s="25">
        <f>B82+C81</f>
        <v>-3664.24</v>
      </c>
      <c r="D82" s="25">
        <f t="shared" ref="D82:M82" si="59">C82+D81</f>
        <v>-3302.7279999999996</v>
      </c>
      <c r="E82" s="25">
        <f t="shared" si="59"/>
        <v>-3107.1359999999995</v>
      </c>
      <c r="F82" s="25">
        <f t="shared" si="59"/>
        <v>-602.20607999999947</v>
      </c>
      <c r="G82" s="25">
        <f t="shared" si="59"/>
        <v>1034.0838400000007</v>
      </c>
      <c r="H82" s="25">
        <f t="shared" si="59"/>
        <v>2670.3737600000009</v>
      </c>
      <c r="I82" s="25">
        <f t="shared" si="59"/>
        <v>4740.9836800000012</v>
      </c>
      <c r="J82" s="25">
        <f t="shared" si="59"/>
        <v>7176.0292864000012</v>
      </c>
      <c r="K82" s="25">
        <f t="shared" si="59"/>
        <v>10974.937292800001</v>
      </c>
      <c r="L82" s="25">
        <f t="shared" si="59"/>
        <v>15455.776499200001</v>
      </c>
      <c r="M82" s="25">
        <f t="shared" si="59"/>
        <v>19936.615705600001</v>
      </c>
    </row>
    <row r="83" spans="1:13" x14ac:dyDescent="0.25">
      <c r="A83" s="24" t="s">
        <v>121</v>
      </c>
      <c r="B83" s="26">
        <f>(1+B86)^(1/4)-1</f>
        <v>3.386552139124821E-2</v>
      </c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x14ac:dyDescent="0.25">
      <c r="A84" s="24" t="s">
        <v>122</v>
      </c>
      <c r="B84" s="29">
        <f>1/(1+$B$83)^1</f>
        <v>0.96724378491152685</v>
      </c>
      <c r="C84" s="29">
        <f>1/(1+$B$83)^2</f>
        <v>0.93556053944997586</v>
      </c>
      <c r="D84" s="29">
        <f>1/(1+$B$83)^3</f>
        <v>0.90491511719146445</v>
      </c>
      <c r="E84" s="29">
        <f>1/(1+$B$83)^4</f>
        <v>0.87527352297592997</v>
      </c>
      <c r="F84" s="29">
        <f>1/(1+$B$83)^5</f>
        <v>0.84660287519608479</v>
      </c>
      <c r="G84" s="29">
        <f>1/(1+$B$83)^6</f>
        <v>0.81887136932164195</v>
      </c>
      <c r="H84" s="29">
        <f>1/(1+$B$83)^7</f>
        <v>0.7920482426183495</v>
      </c>
      <c r="I84" s="29">
        <f>1/(1+$B$83)^8</f>
        <v>0.76610374002269577</v>
      </c>
      <c r="J84" s="29">
        <f>1/(1+$B$83)^9</f>
        <v>0.74100908113442854</v>
      </c>
      <c r="K84" s="29">
        <f>1/(1+$B$83)^10</f>
        <v>0.71673642829027739</v>
      </c>
      <c r="L84" s="29">
        <f>1/(1+$B$83)^11</f>
        <v>0.69325885568345691</v>
      </c>
      <c r="M84" s="29">
        <f>1/(1+$B$83)^12</f>
        <v>0.67055031949470079</v>
      </c>
    </row>
    <row r="85" spans="1:13" ht="30" x14ac:dyDescent="0.25">
      <c r="A85" s="24" t="s">
        <v>131</v>
      </c>
      <c r="B85" s="30">
        <f>B81*B84</f>
        <v>-2526.9050432056656</v>
      </c>
      <c r="C85" s="30">
        <f t="shared" ref="C85:M85" si="60">C81*C84</f>
        <v>-983.98515297190659</v>
      </c>
      <c r="D85" s="30">
        <f t="shared" si="60"/>
        <v>327.13767384612083</v>
      </c>
      <c r="E85" s="30">
        <f t="shared" si="60"/>
        <v>171.19649890590819</v>
      </c>
      <c r="F85" s="30">
        <f t="shared" si="60"/>
        <v>2120.6808724366988</v>
      </c>
      <c r="G85" s="30">
        <f t="shared" si="60"/>
        <v>1339.9109673976002</v>
      </c>
      <c r="H85" s="30">
        <f t="shared" si="60"/>
        <v>1296.0205555501198</v>
      </c>
      <c r="I85" s="30">
        <f t="shared" si="60"/>
        <v>1586.3020038400948</v>
      </c>
      <c r="J85" s="30">
        <f t="shared" si="60"/>
        <v>1804.3909073188913</v>
      </c>
      <c r="K85" s="30">
        <f t="shared" si="60"/>
        <v>2722.8157559104743</v>
      </c>
      <c r="L85" s="30">
        <f t="shared" si="60"/>
        <v>3106.381460730433</v>
      </c>
      <c r="M85" s="30">
        <f t="shared" si="60"/>
        <v>3004.6281614559016</v>
      </c>
    </row>
    <row r="86" spans="1:13" ht="30" x14ac:dyDescent="0.25">
      <c r="A86" s="24" t="s">
        <v>127</v>
      </c>
      <c r="B86" s="31">
        <f>('Данные Заявителя'!B5+IF('Данные Заявителя'!B9='Данные Заявителя'!A93,'Данные Заявителя'!B93,IF('Данные Заявителя'!B9='Данные Заявителя'!A94,'Данные Заявителя'!B94,IF('Данные Заявителя'!B9='Данные Заявителя'!A95,'Данные Заявителя'!B95,IF('Данные Заявителя'!B9='Данные Заявителя'!A96,'Данные Заявителя'!B96,10))))*'Данные Заявителя'!B6)*'Данные Заявителя'!B26/('Данные Заявителя'!B20+'Данные Заявителя'!B26)+('Данные Заявителя'!B23)*'Данные Заявителя'!B20/('Данные Заявителя'!B20+'Данные Заявителя'!B26)</f>
        <v>0.14250000000000002</v>
      </c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30" x14ac:dyDescent="0.25">
      <c r="A87" s="24" t="s">
        <v>128</v>
      </c>
      <c r="B87" s="3" t="str">
        <f>CONCATENATE(ROUND(SUM(B85:M85),0),"  тыс. руб.")</f>
        <v>13969  тыс. руб.</v>
      </c>
      <c r="C87" s="34"/>
    </row>
    <row r="88" spans="1:13" ht="30" x14ac:dyDescent="0.25">
      <c r="A88" s="24" t="s">
        <v>130</v>
      </c>
      <c r="B88" s="31">
        <f>ABS(AVERAGE(B80:M80)/SUM(B79:M79))</f>
        <v>0.91402565440000005</v>
      </c>
      <c r="C88" s="34"/>
    </row>
    <row r="89" spans="1:13" ht="30" x14ac:dyDescent="0.25">
      <c r="A89" s="24" t="s">
        <v>129</v>
      </c>
      <c r="B89" s="35">
        <f>IRR(B81:M81)</f>
        <v>0.30615223138593151</v>
      </c>
      <c r="C89" s="34"/>
    </row>
    <row r="90" spans="1:13" ht="30" x14ac:dyDescent="0.25">
      <c r="A90" s="24" t="s">
        <v>213</v>
      </c>
      <c r="B90" s="204" t="str">
        <f>CONCATENATE(ROUND(1/B88,2),"  квартала")</f>
        <v>1,09  квартала</v>
      </c>
      <c r="C90" s="34"/>
    </row>
    <row r="91" spans="1:13" ht="30" x14ac:dyDescent="0.25">
      <c r="A91" s="24" t="s">
        <v>214</v>
      </c>
      <c r="B91" s="204" t="str">
        <f>CONCATENATE(ROUND(1/ABS(AVERAGE(B286:M286)/SUM(B285:M285)),2),"  квартала")</f>
        <v>1,46  квартала</v>
      </c>
      <c r="C91" s="34"/>
    </row>
    <row r="92" spans="1:13" x14ac:dyDescent="0.25">
      <c r="A92" s="205" t="s">
        <v>215</v>
      </c>
      <c r="B92" s="206" t="str">
        <f>CONCATENATE(ROUND(Q291,2),"  квартала")</f>
        <v>5,58  квартала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4" spans="1:13" x14ac:dyDescent="0.25">
      <c r="A94" s="37" t="s">
        <v>183</v>
      </c>
      <c r="D94" s="38"/>
      <c r="E94" s="39"/>
      <c r="F94" s="40"/>
    </row>
    <row r="95" spans="1:13" x14ac:dyDescent="0.25">
      <c r="A95" s="37"/>
      <c r="D95" s="38"/>
      <c r="E95" s="39"/>
      <c r="F95" s="40"/>
    </row>
    <row r="96" spans="1:13" x14ac:dyDescent="0.25">
      <c r="A96" s="37"/>
      <c r="D96" s="38"/>
      <c r="E96" s="39"/>
      <c r="F96" s="40"/>
    </row>
    <row r="97" spans="1:6" x14ac:dyDescent="0.25">
      <c r="A97" s="37"/>
      <c r="D97" s="38"/>
      <c r="E97" s="39"/>
      <c r="F97" s="40"/>
    </row>
    <row r="98" spans="1:6" x14ac:dyDescent="0.25">
      <c r="A98" s="37"/>
      <c r="D98" s="38"/>
      <c r="E98" s="39"/>
      <c r="F98" s="40"/>
    </row>
    <row r="99" spans="1:6" x14ac:dyDescent="0.25">
      <c r="A99" s="37"/>
      <c r="D99" s="38"/>
      <c r="E99" s="39"/>
      <c r="F99" s="40"/>
    </row>
    <row r="100" spans="1:6" x14ac:dyDescent="0.25">
      <c r="A100" s="37"/>
      <c r="D100" s="38"/>
      <c r="E100" s="39"/>
      <c r="F100" s="40"/>
    </row>
    <row r="101" spans="1:6" x14ac:dyDescent="0.25">
      <c r="A101" s="37"/>
      <c r="D101" s="38"/>
      <c r="E101" s="39"/>
      <c r="F101" s="40"/>
    </row>
    <row r="102" spans="1:6" x14ac:dyDescent="0.25">
      <c r="A102" s="37"/>
      <c r="D102" s="38"/>
      <c r="E102" s="39"/>
      <c r="F102" s="40"/>
    </row>
    <row r="103" spans="1:6" x14ac:dyDescent="0.25">
      <c r="A103" s="37"/>
      <c r="D103" s="38"/>
      <c r="E103" s="39"/>
      <c r="F103" s="40"/>
    </row>
    <row r="104" spans="1:6" x14ac:dyDescent="0.25">
      <c r="A104" s="37"/>
      <c r="D104" s="38"/>
      <c r="E104" s="39"/>
      <c r="F104" s="40"/>
    </row>
    <row r="105" spans="1:6" x14ac:dyDescent="0.25">
      <c r="A105" s="37"/>
      <c r="D105" s="38"/>
      <c r="E105" s="39"/>
      <c r="F105" s="40"/>
    </row>
    <row r="106" spans="1:6" x14ac:dyDescent="0.25">
      <c r="A106" s="37"/>
      <c r="D106" s="38"/>
      <c r="E106" s="39"/>
      <c r="F106" s="40"/>
    </row>
    <row r="107" spans="1:6" x14ac:dyDescent="0.25">
      <c r="A107" s="37"/>
      <c r="D107" s="38"/>
      <c r="E107" s="39"/>
      <c r="F107" s="40"/>
    </row>
    <row r="108" spans="1:6" x14ac:dyDescent="0.25">
      <c r="A108" s="37"/>
      <c r="D108" s="38"/>
      <c r="E108" s="39"/>
      <c r="F108" s="40"/>
    </row>
    <row r="109" spans="1:6" x14ac:dyDescent="0.25">
      <c r="A109" s="37"/>
      <c r="D109" s="38"/>
      <c r="E109" s="39"/>
      <c r="F109" s="40"/>
    </row>
    <row r="110" spans="1:6" x14ac:dyDescent="0.25">
      <c r="A110" s="37"/>
      <c r="D110" s="38"/>
      <c r="E110" s="39"/>
      <c r="F110" s="40"/>
    </row>
    <row r="111" spans="1:6" x14ac:dyDescent="0.25">
      <c r="A111" s="37"/>
      <c r="D111" s="38"/>
      <c r="E111" s="39"/>
      <c r="F111" s="40"/>
    </row>
    <row r="112" spans="1:6" ht="15.75" thickBot="1" x14ac:dyDescent="0.3">
      <c r="A112" s="1" t="s">
        <v>226</v>
      </c>
      <c r="D112" s="38"/>
      <c r="E112" s="39"/>
      <c r="F112" s="40"/>
    </row>
    <row r="113" spans="1:13" ht="16.5" thickBot="1" x14ac:dyDescent="0.3">
      <c r="A113" s="241" t="s">
        <v>158</v>
      </c>
      <c r="B113" s="243" t="s">
        <v>182</v>
      </c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4"/>
    </row>
    <row r="114" spans="1:13" ht="30.75" thickBot="1" x14ac:dyDescent="0.3">
      <c r="A114" s="242"/>
      <c r="B114" s="41" t="s">
        <v>159</v>
      </c>
      <c r="C114" s="41" t="s">
        <v>160</v>
      </c>
      <c r="D114" s="41" t="s">
        <v>161</v>
      </c>
      <c r="E114" s="41" t="s">
        <v>162</v>
      </c>
      <c r="F114" s="41" t="s">
        <v>163</v>
      </c>
      <c r="G114" s="41" t="s">
        <v>164</v>
      </c>
      <c r="H114" s="41" t="s">
        <v>165</v>
      </c>
      <c r="I114" s="41" t="s">
        <v>166</v>
      </c>
      <c r="J114" s="41" t="s">
        <v>167</v>
      </c>
      <c r="K114" s="41" t="s">
        <v>168</v>
      </c>
      <c r="L114" s="41" t="s">
        <v>169</v>
      </c>
      <c r="M114" s="41" t="s">
        <v>170</v>
      </c>
    </row>
    <row r="115" spans="1:13" ht="16.5" thickBot="1" x14ac:dyDescent="0.3">
      <c r="A115" s="42" t="s">
        <v>178</v>
      </c>
      <c r="B115" s="43">
        <f>B34</f>
        <v>0</v>
      </c>
      <c r="C115" s="43">
        <f>C34</f>
        <v>610</v>
      </c>
      <c r="D115" s="43">
        <f>D34</f>
        <v>2379</v>
      </c>
      <c r="E115" s="43">
        <f>E34</f>
        <v>2135</v>
      </c>
      <c r="F115" s="43">
        <f>G34</f>
        <v>5709.6</v>
      </c>
      <c r="G115" s="43">
        <f>H34</f>
        <v>4440.8</v>
      </c>
      <c r="H115" s="43">
        <f>I34</f>
        <v>4440.8</v>
      </c>
      <c r="I115" s="43">
        <f>J34</f>
        <v>5075.2</v>
      </c>
      <c r="J115" s="43">
        <f>L34</f>
        <v>5937.9840000000004</v>
      </c>
      <c r="K115" s="43">
        <f>M34</f>
        <v>7917.3119999999999</v>
      </c>
      <c r="L115" s="43">
        <f>N34</f>
        <v>8906.9760000000006</v>
      </c>
      <c r="M115" s="43">
        <f>O34</f>
        <v>8906.9760000000006</v>
      </c>
    </row>
    <row r="116" spans="1:13" ht="16.5" thickBot="1" x14ac:dyDescent="0.3">
      <c r="A116" s="42" t="s">
        <v>179</v>
      </c>
      <c r="B116" s="44">
        <f>B44</f>
        <v>-612.48</v>
      </c>
      <c r="C116" s="44">
        <f t="shared" ref="C116:E116" si="61">C44</f>
        <v>-1051.76</v>
      </c>
      <c r="D116" s="44">
        <f t="shared" si="61"/>
        <v>361.51200000000006</v>
      </c>
      <c r="E116" s="44">
        <f t="shared" si="61"/>
        <v>195.59200000000001</v>
      </c>
      <c r="F116" s="44">
        <f>G44</f>
        <v>2504.92992</v>
      </c>
      <c r="G116" s="44">
        <f t="shared" ref="G116:I116" si="62">H44</f>
        <v>1636.2899199999999</v>
      </c>
      <c r="H116" s="44">
        <f t="shared" si="62"/>
        <v>1636.2899199999999</v>
      </c>
      <c r="I116" s="44">
        <f t="shared" si="62"/>
        <v>2070.6099199999999</v>
      </c>
      <c r="J116" s="44">
        <f>L44</f>
        <v>2435.0456064</v>
      </c>
      <c r="K116" s="44">
        <f t="shared" ref="K116:M116" si="63">M44</f>
        <v>3798.9080063999995</v>
      </c>
      <c r="L116" s="44">
        <f t="shared" si="63"/>
        <v>4480.8392064</v>
      </c>
      <c r="M116" s="44">
        <f t="shared" si="63"/>
        <v>4480.8392064</v>
      </c>
    </row>
    <row r="117" spans="1:13" ht="32.25" thickBot="1" x14ac:dyDescent="0.3">
      <c r="A117" s="42" t="s">
        <v>171</v>
      </c>
      <c r="B117" s="44">
        <f t="shared" ref="B117:M117" si="64">SUM(B118:B124)</f>
        <v>103.67999999999999</v>
      </c>
      <c r="C117" s="44">
        <f t="shared" si="64"/>
        <v>272.15999999999997</v>
      </c>
      <c r="D117" s="44">
        <f t="shared" si="64"/>
        <v>589.56299999999999</v>
      </c>
      <c r="E117" s="44">
        <f t="shared" si="64"/>
        <v>513.51633333333336</v>
      </c>
      <c r="F117" s="44">
        <f t="shared" si="64"/>
        <v>1649.0640799999999</v>
      </c>
      <c r="G117" s="44">
        <f t="shared" si="64"/>
        <v>1250.9374133333333</v>
      </c>
      <c r="H117" s="44">
        <f t="shared" si="64"/>
        <v>1250.9374133333333</v>
      </c>
      <c r="I117" s="44">
        <f t="shared" si="64"/>
        <v>1450.0007466666668</v>
      </c>
      <c r="J117" s="44">
        <f t="shared" si="64"/>
        <v>1709.6488736000001</v>
      </c>
      <c r="K117" s="44">
        <f t="shared" si="64"/>
        <v>2334.7524736</v>
      </c>
      <c r="L117" s="44">
        <f t="shared" si="64"/>
        <v>2647.3042736000002</v>
      </c>
      <c r="M117" s="44">
        <f t="shared" si="64"/>
        <v>2647.3042736000002</v>
      </c>
    </row>
    <row r="118" spans="1:13" s="47" customFormat="1" ht="12.75" x14ac:dyDescent="0.2">
      <c r="A118" s="45" t="s">
        <v>77</v>
      </c>
      <c r="B118" s="46">
        <f>B43</f>
        <v>0</v>
      </c>
      <c r="C118" s="46">
        <f t="shared" ref="C118:D118" si="65">C43</f>
        <v>0</v>
      </c>
      <c r="D118" s="46">
        <f t="shared" si="65"/>
        <v>90.378000000000029</v>
      </c>
      <c r="E118" s="46">
        <f>E43</f>
        <v>48.898000000000003</v>
      </c>
      <c r="F118" s="46">
        <f>G43</f>
        <v>626.23248000000012</v>
      </c>
      <c r="G118" s="46">
        <f t="shared" ref="G118:I118" si="66">H43</f>
        <v>409.07248000000004</v>
      </c>
      <c r="H118" s="46">
        <f t="shared" si="66"/>
        <v>409.07248000000004</v>
      </c>
      <c r="I118" s="46">
        <f t="shared" si="66"/>
        <v>517.65247999999997</v>
      </c>
      <c r="J118" s="46">
        <f>L43</f>
        <v>608.76140160000011</v>
      </c>
      <c r="K118" s="46">
        <f t="shared" ref="K118:M118" si="67">M43</f>
        <v>949.72700159999988</v>
      </c>
      <c r="L118" s="46">
        <f t="shared" si="67"/>
        <v>1120.2098016</v>
      </c>
      <c r="M118" s="46">
        <f t="shared" si="67"/>
        <v>1120.2098016</v>
      </c>
    </row>
    <row r="119" spans="1:13" s="47" customFormat="1" ht="12.75" x14ac:dyDescent="0.2">
      <c r="A119" s="48" t="s">
        <v>181</v>
      </c>
      <c r="B119" s="49">
        <f>B37*0.13</f>
        <v>31.200000000000003</v>
      </c>
      <c r="C119" s="49">
        <f>C37*0.13</f>
        <v>81.900000000000006</v>
      </c>
      <c r="D119" s="49">
        <f>D37*0.13</f>
        <v>81.900000000000006</v>
      </c>
      <c r="E119" s="49">
        <f>E37*0.13</f>
        <v>81.900000000000006</v>
      </c>
      <c r="F119" s="49">
        <f>G37*0.13</f>
        <v>97.343999999999994</v>
      </c>
      <c r="G119" s="49">
        <f>H37*0.13</f>
        <v>97.343999999999994</v>
      </c>
      <c r="H119" s="49">
        <f>I37*0.13</f>
        <v>97.343999999999994</v>
      </c>
      <c r="I119" s="49">
        <f>J37*0.13</f>
        <v>97.343999999999994</v>
      </c>
      <c r="J119" s="49">
        <f>L37*0.13</f>
        <v>113.89248000000002</v>
      </c>
      <c r="K119" s="49">
        <f>M37*0.13</f>
        <v>113.89248000000002</v>
      </c>
      <c r="L119" s="49">
        <f>N37*0.13</f>
        <v>113.89248000000002</v>
      </c>
      <c r="M119" s="49">
        <f>O37*0.13</f>
        <v>113.89248000000002</v>
      </c>
    </row>
    <row r="120" spans="1:13" s="47" customFormat="1" ht="12.75" x14ac:dyDescent="0.2">
      <c r="A120" s="48" t="s">
        <v>172</v>
      </c>
      <c r="B120" s="49">
        <f>IF((B28-B5-B8-B10-B12-B13-B14-B15-B16)&gt;0,IF('Данные Заявителя'!$B$8='Данные Заявителя'!$A$88,(B28-B5-B8-B10-B12-B13-B14-B15-B16)*20%/120%/1000,0),0)</f>
        <v>0</v>
      </c>
      <c r="C120" s="49">
        <f>IF((C28-C5-C8-C10-C12-C13-C14-C15-C16)&gt;0,IF('Данные Заявителя'!$B$8='Данные Заявителя'!$A$88,(C28-C5-C8-C10-C12-C13-C14-C15-C16)*20%/120%/1000,0),0)</f>
        <v>0</v>
      </c>
      <c r="D120" s="49">
        <f>IF((D28-D5-D8-D10-D12-D13-D14-D15-D16)&gt;0,IF('Данные Заявителя'!$B$8='Данные Заявителя'!$A$88,(D28-D5-D8-D10-D12-D13-D14-D15-D16)*20%/120%/1000,0),0)</f>
        <v>227.02500000000001</v>
      </c>
      <c r="E120" s="49">
        <f>IF((E28-E5-E8-E10-E12-E13-E14-E15-E16)&gt;0,IF('Данные Заявителя'!$B$8='Данные Заявителя'!$A$88,(E28-E5-E8-E10-E12-E13-E14-E15-E16)*20%/120%/1000,0),0)</f>
        <v>192.45833333333334</v>
      </c>
      <c r="F120" s="49">
        <f>IF((G28-G5-G8-G10-G12-G13-G14-G15-G16)&gt;0,IF('Данные Заявителя'!$B$8='Данные Заявителя'!$A$88,(G28-G5-G8-G10-G12-G13-G14-G15-G16)*20%/120%/1000,0),0)</f>
        <v>699.35</v>
      </c>
      <c r="G120" s="49">
        <f>IF((H28-H5-H8-H10-H12-H13-H14-H15-H16)&gt;0,IF('Данные Заявителя'!$B$8='Данные Заявителя'!$A$88,(H28-H5-H8-H10-H12-H13-H14-H15-H16)*20%/120%/1000,0),0)</f>
        <v>518.38333333333333</v>
      </c>
      <c r="H120" s="49">
        <f>IF((I28-I5-I8-I10-I12-I13-I14-I15-I16)&gt;0,IF('Данные Заявителя'!$B$8='Данные Заявителя'!$A$88,(I28-I5-I8-I10-I12-I13-I14-I15-I16)*20%/120%/1000,0),0)</f>
        <v>518.38333333333333</v>
      </c>
      <c r="I120" s="49">
        <f>IF((J28-J5-J8-J10-J12-J13-J14-J15-J16)&gt;0,IF('Данные Заявителя'!$B$8='Данные Заявителя'!$A$88,(J28-J5-J8-J10-J12-J13-J14-J15-J16)*20%/120%/1000,0),0)</f>
        <v>608.86666666666679</v>
      </c>
      <c r="J120" s="49">
        <f>IF((L28-L5-L8-L10-L12-L13-L14-L15-L16)&gt;0,IF('Данные Заявителя'!$B$8='Данные Заявителя'!$A$88,(L28-L5-L8-L10-L12-L13-L14-L15-L16)*20%/120%/1000,0),0)</f>
        <v>722.4140000000001</v>
      </c>
      <c r="K120" s="49">
        <f>IF((M28-M5-M8-M10-M12-M13-M14-M15-M16)&gt;0,IF('Данные Заявителя'!$B$8='Данные Заявителя'!$A$88,(M28-M5-M8-M10-M12-M13-M14-M15-M16)*20%/120%/1000,0),0)</f>
        <v>1006.5520000000001</v>
      </c>
      <c r="L120" s="49">
        <f>IF((N28-N5-N8-N10-N12-N13-N14-N15-N16)&gt;0,IF('Данные Заявителя'!$B$8='Данные Заявителя'!$A$88,(N28-N5-N8-N10-N12-N13-N14-N15-N16)*20%/120%/1000,0),0)</f>
        <v>1148.6210000000003</v>
      </c>
      <c r="M120" s="49">
        <f>IF((O28-O5-O8-O10-O12-O13-O14-O15-O16)&gt;0,IF('Данные Заявителя'!$B$8='Данные Заявителя'!$A$88,(O28-O5-O8-O10-O12-O13-O14-O15-O16)*20%/120%/1000,0),0)</f>
        <v>1148.6210000000003</v>
      </c>
    </row>
    <row r="121" spans="1:13" s="47" customFormat="1" ht="12.75" x14ac:dyDescent="0.2">
      <c r="A121" s="50" t="s">
        <v>187</v>
      </c>
      <c r="B121" s="49">
        <f>'Данные Заявителя'!$B$101*B37</f>
        <v>52.8</v>
      </c>
      <c r="C121" s="49">
        <f>'Данные Заявителя'!$B$101*C37</f>
        <v>138.6</v>
      </c>
      <c r="D121" s="49">
        <f>'Данные Заявителя'!$B$101*D37</f>
        <v>138.6</v>
      </c>
      <c r="E121" s="49">
        <f>'Данные Заявителя'!$B$101*E37</f>
        <v>138.6</v>
      </c>
      <c r="F121" s="49">
        <f>'Данные Заявителя'!$B$101*G37</f>
        <v>164.73599999999999</v>
      </c>
      <c r="G121" s="49">
        <f>'Данные Заявителя'!$B$101*H37</f>
        <v>164.73599999999999</v>
      </c>
      <c r="H121" s="49">
        <f>'Данные Заявителя'!$B$101*I37</f>
        <v>164.73599999999999</v>
      </c>
      <c r="I121" s="49">
        <f>'Данные Заявителя'!$B$101*J37</f>
        <v>164.73599999999999</v>
      </c>
      <c r="J121" s="49">
        <f>'Данные Заявителя'!$B$101*L37</f>
        <v>192.74112000000002</v>
      </c>
      <c r="K121" s="49">
        <f>'Данные Заявителя'!$B$101*M37</f>
        <v>192.74112000000002</v>
      </c>
      <c r="L121" s="49">
        <f>'Данные Заявителя'!$B$101*N37</f>
        <v>192.74112000000002</v>
      </c>
      <c r="M121" s="49">
        <f>'Данные Заявителя'!$B$101*O37</f>
        <v>192.74112000000002</v>
      </c>
    </row>
    <row r="122" spans="1:13" s="47" customFormat="1" ht="12.75" x14ac:dyDescent="0.2">
      <c r="A122" s="50" t="s">
        <v>173</v>
      </c>
      <c r="B122" s="49">
        <f>'Данные Заявителя'!$B$102*B37</f>
        <v>12.239999999999998</v>
      </c>
      <c r="C122" s="49">
        <f>'Данные Заявителя'!$B$102*C37</f>
        <v>32.129999999999995</v>
      </c>
      <c r="D122" s="49">
        <f>'Данные Заявителя'!$B$102*D37</f>
        <v>32.129999999999995</v>
      </c>
      <c r="E122" s="49">
        <f>'Данные Заявителя'!$B$102*E37</f>
        <v>32.129999999999995</v>
      </c>
      <c r="F122" s="49">
        <f>'Данные Заявителя'!$B$102*G37</f>
        <v>38.188799999999993</v>
      </c>
      <c r="G122" s="49">
        <f>'Данные Заявителя'!$B$102*H37</f>
        <v>38.188799999999993</v>
      </c>
      <c r="H122" s="49">
        <f>'Данные Заявителя'!$B$102*I37</f>
        <v>38.188799999999993</v>
      </c>
      <c r="I122" s="49">
        <f>'Данные Заявителя'!$B$102*J37</f>
        <v>38.188799999999993</v>
      </c>
      <c r="J122" s="49">
        <f>'Данные Заявителя'!$B$102*L37</f>
        <v>44.680896000000004</v>
      </c>
      <c r="K122" s="49">
        <f>'Данные Заявителя'!$B$102*M37</f>
        <v>44.680896000000004</v>
      </c>
      <c r="L122" s="49">
        <f>'Данные Заявителя'!$B$102*N37</f>
        <v>44.680896000000004</v>
      </c>
      <c r="M122" s="49">
        <f>'Данные Заявителя'!$B$102*O37</f>
        <v>44.680896000000004</v>
      </c>
    </row>
    <row r="123" spans="1:13" s="47" customFormat="1" ht="12.75" x14ac:dyDescent="0.2">
      <c r="A123" s="50" t="s">
        <v>174</v>
      </c>
      <c r="B123" s="49">
        <f>'Данные Заявителя'!$B$103*B37</f>
        <v>6.96</v>
      </c>
      <c r="C123" s="49">
        <f>'Данные Заявителя'!$B$103*C37</f>
        <v>18.27</v>
      </c>
      <c r="D123" s="49">
        <f>'Данные Заявителя'!$B$103*D37</f>
        <v>18.27</v>
      </c>
      <c r="E123" s="49">
        <f>'Данные Заявителя'!$B$103*E37</f>
        <v>18.27</v>
      </c>
      <c r="F123" s="49">
        <f>'Данные Заявителя'!$B$103*G37</f>
        <v>21.715199999999999</v>
      </c>
      <c r="G123" s="49">
        <f>'Данные Заявителя'!$B$103*H37</f>
        <v>21.715199999999999</v>
      </c>
      <c r="H123" s="49">
        <f>'Данные Заявителя'!$B$103*I37</f>
        <v>21.715199999999999</v>
      </c>
      <c r="I123" s="49">
        <f>'Данные Заявителя'!$B$103*J37</f>
        <v>21.715199999999999</v>
      </c>
      <c r="J123" s="49">
        <f>'Данные Заявителя'!$B$103*L37</f>
        <v>25.406784000000005</v>
      </c>
      <c r="K123" s="49">
        <f>'Данные Заявителя'!$B$103*M37</f>
        <v>25.406784000000005</v>
      </c>
      <c r="L123" s="49">
        <f>'Данные Заявителя'!$B$103*N37</f>
        <v>25.406784000000005</v>
      </c>
      <c r="M123" s="49">
        <f>'Данные Заявителя'!$B$103*O37</f>
        <v>25.406784000000005</v>
      </c>
    </row>
    <row r="124" spans="1:13" s="47" customFormat="1" ht="26.25" thickBot="1" x14ac:dyDescent="0.25">
      <c r="A124" s="51" t="s">
        <v>175</v>
      </c>
      <c r="B124" s="52">
        <f>'Данные Заявителя'!$B$104*B37</f>
        <v>0.48</v>
      </c>
      <c r="C124" s="52">
        <f>'Данные Заявителя'!$B$104*C37</f>
        <v>1.26</v>
      </c>
      <c r="D124" s="52">
        <f>'Данные Заявителя'!$B$104*D37</f>
        <v>1.26</v>
      </c>
      <c r="E124" s="52">
        <f>'Данные Заявителя'!$B$104*E37</f>
        <v>1.26</v>
      </c>
      <c r="F124" s="52">
        <f>'Данные Заявителя'!$B$104*G37</f>
        <v>1.4976</v>
      </c>
      <c r="G124" s="52">
        <f>'Данные Заявителя'!$B$104*H37</f>
        <v>1.4976</v>
      </c>
      <c r="H124" s="52">
        <f>'Данные Заявителя'!$B$104*I37</f>
        <v>1.4976</v>
      </c>
      <c r="I124" s="52">
        <f>'Данные Заявителя'!$B$104*J37</f>
        <v>1.4976</v>
      </c>
      <c r="J124" s="52">
        <f>'Данные Заявителя'!$B$104*L37</f>
        <v>1.7521920000000002</v>
      </c>
      <c r="K124" s="52">
        <f>'Данные Заявителя'!$B$104*M37</f>
        <v>1.7521920000000002</v>
      </c>
      <c r="L124" s="52">
        <f>'Данные Заявителя'!$B$104*N37</f>
        <v>1.7521920000000002</v>
      </c>
      <c r="M124" s="52">
        <f>'Данные Заявителя'!$B$104*O37</f>
        <v>1.7521920000000002</v>
      </c>
    </row>
    <row r="125" spans="1:13" ht="16.5" thickBot="1" x14ac:dyDescent="0.3">
      <c r="A125" s="53" t="s">
        <v>177</v>
      </c>
      <c r="B125" s="54">
        <f>SUM('Данные Заявителя'!E41:E46)</f>
        <v>1</v>
      </c>
      <c r="C125" s="54">
        <f>SUM('Данные Заявителя'!H41:H46)</f>
        <v>4</v>
      </c>
      <c r="D125" s="54">
        <f>SUM('Данные Заявителя'!K41:K46)</f>
        <v>4</v>
      </c>
      <c r="E125" s="54">
        <f>SUM('Данные Заявителя'!N41:N46)</f>
        <v>4</v>
      </c>
      <c r="F125" s="54">
        <f>SUM('Данные Заявителя'!Q41:Q46)</f>
        <v>5</v>
      </c>
      <c r="G125" s="54">
        <f>SUM('Данные Заявителя'!T41:T46)</f>
        <v>5</v>
      </c>
      <c r="H125" s="54">
        <f>SUM('Данные Заявителя'!W41:W46)</f>
        <v>5</v>
      </c>
      <c r="I125" s="54">
        <f>SUM('Данные Заявителя'!Z41:Z46)</f>
        <v>5</v>
      </c>
      <c r="J125" s="54">
        <f>SUM('Данные Заявителя'!AC41:AC46)</f>
        <v>6</v>
      </c>
      <c r="K125" s="54">
        <f>SUM('Данные Заявителя'!AF41:AF46)</f>
        <v>6</v>
      </c>
      <c r="L125" s="54">
        <f>SUM('Данные Заявителя'!AI41:AI46)</f>
        <v>6</v>
      </c>
      <c r="M125" s="54">
        <f>SUM('Данные Заявителя'!AL41:AL46)</f>
        <v>6</v>
      </c>
    </row>
    <row r="126" spans="1:13" ht="32.25" thickBot="1" x14ac:dyDescent="0.3">
      <c r="A126" s="42" t="s">
        <v>176</v>
      </c>
      <c r="B126" s="44">
        <f>B37/SUM('Данные Заявителя'!C41:E46)</f>
        <v>80</v>
      </c>
      <c r="C126" s="44">
        <f>C37/SUM('Данные Заявителя'!F41:H46)</f>
        <v>52.5</v>
      </c>
      <c r="D126" s="44">
        <f>D37/SUM('Данные Заявителя'!I41:K46)</f>
        <v>52.5</v>
      </c>
      <c r="E126" s="44">
        <f>E37/SUM('Данные Заявителя'!L41:N46)</f>
        <v>52.5</v>
      </c>
      <c r="F126" s="44">
        <f>G37/SUM('Данные Заявителя'!O41:Q46)</f>
        <v>49.919999999999995</v>
      </c>
      <c r="G126" s="44">
        <f>H37/SUM('Данные Заявителя'!R41:T46)</f>
        <v>49.919999999999995</v>
      </c>
      <c r="H126" s="44">
        <f>I37/SUM('Данные Заявителя'!U41:W46)</f>
        <v>49.919999999999995</v>
      </c>
      <c r="I126" s="44">
        <f>J37/SUM('Данные Заявителя'!X41:Z46)</f>
        <v>49.919999999999995</v>
      </c>
      <c r="J126" s="44">
        <f>L37/SUM('Данные Заявителя'!AA41:AC46)</f>
        <v>48.672000000000004</v>
      </c>
      <c r="K126" s="44">
        <f>M37/SUM('Данные Заявителя'!AD41:AF46)</f>
        <v>48.672000000000004</v>
      </c>
      <c r="L126" s="44">
        <f>N37/SUM('Данные Заявителя'!AG41:AI46)</f>
        <v>48.672000000000004</v>
      </c>
      <c r="M126" s="44">
        <f>O37/SUM('Данные Заявителя'!AJ41:AL46)</f>
        <v>48.672000000000004</v>
      </c>
    </row>
    <row r="127" spans="1:13" ht="48" thickBot="1" x14ac:dyDescent="0.3">
      <c r="A127" s="42" t="s">
        <v>180</v>
      </c>
      <c r="B127" s="43">
        <f>SUM('Данные Заявителя'!C65:E68)/1000</f>
        <v>1350</v>
      </c>
      <c r="C127" s="43">
        <f>SUM('Данные Заявителя'!F65:H72)/1000+B127</f>
        <v>1350</v>
      </c>
      <c r="D127" s="43">
        <f>SUM('Данные Заявителя'!I65:K72)/1000+C127</f>
        <v>1350</v>
      </c>
      <c r="E127" s="43">
        <f>SUM('Данные Заявителя'!L65:N72)/1000+D127</f>
        <v>1350</v>
      </c>
      <c r="F127" s="43">
        <f>SUM('Данные Заявителя'!O65:Q72)/1000+E127</f>
        <v>1350</v>
      </c>
      <c r="G127" s="43">
        <f>SUM('Данные Заявителя'!R65:T72)/1000+F127</f>
        <v>1350</v>
      </c>
      <c r="H127" s="43">
        <f>SUM('Данные Заявителя'!U65:W72)/1000+G127</f>
        <v>1350</v>
      </c>
      <c r="I127" s="43">
        <f>SUM('Данные Заявителя'!X65:Z72)/1000+H127</f>
        <v>1350</v>
      </c>
      <c r="J127" s="43">
        <f>SUM('Данные Заявителя'!AA65:AC72)/1000+I127</f>
        <v>1350</v>
      </c>
      <c r="K127" s="43">
        <f>SUM('Данные Заявителя'!AD65:AF72)/1000+J127</f>
        <v>1350</v>
      </c>
      <c r="L127" s="43">
        <f>SUM('Данные Заявителя'!AG65:AI72)/1000+K127</f>
        <v>1350</v>
      </c>
      <c r="M127" s="43">
        <f>SUM('Данные Заявителя'!AJ65:AL72)/1000+L127</f>
        <v>1350</v>
      </c>
    </row>
    <row r="128" spans="1:13" x14ac:dyDescent="0.25">
      <c r="A128" s="37"/>
      <c r="D128" s="38"/>
      <c r="E128" s="39"/>
      <c r="F128" s="40"/>
    </row>
    <row r="129" spans="1:6" x14ac:dyDescent="0.25">
      <c r="A129" s="37"/>
      <c r="D129" s="38"/>
      <c r="E129" s="39"/>
      <c r="F129" s="40"/>
    </row>
    <row r="130" spans="1:6" x14ac:dyDescent="0.25">
      <c r="A130" s="37"/>
      <c r="B130" s="39"/>
      <c r="D130" s="38"/>
      <c r="E130" s="39"/>
      <c r="F130" s="40"/>
    </row>
    <row r="131" spans="1:6" x14ac:dyDescent="0.25">
      <c r="A131" s="37"/>
      <c r="B131" s="39"/>
      <c r="D131" s="38"/>
      <c r="E131" s="39"/>
      <c r="F131" s="40"/>
    </row>
    <row r="132" spans="1:6" x14ac:dyDescent="0.25">
      <c r="A132" s="37"/>
      <c r="D132" s="38"/>
      <c r="E132" s="39"/>
      <c r="F132" s="40"/>
    </row>
    <row r="133" spans="1:6" x14ac:dyDescent="0.25">
      <c r="A133" s="37"/>
      <c r="D133" s="38"/>
      <c r="E133" s="39"/>
      <c r="F133" s="55"/>
    </row>
    <row r="134" spans="1:6" x14ac:dyDescent="0.25">
      <c r="A134" s="37"/>
      <c r="D134" s="38"/>
      <c r="E134" s="39"/>
      <c r="F134" s="40"/>
    </row>
    <row r="135" spans="1:6" x14ac:dyDescent="0.25">
      <c r="A135" s="37"/>
      <c r="D135" s="38"/>
      <c r="E135" s="39"/>
      <c r="F135" s="40"/>
    </row>
    <row r="136" spans="1:6" x14ac:dyDescent="0.25">
      <c r="A136" s="37"/>
      <c r="D136" s="38"/>
      <c r="E136" s="39"/>
      <c r="F136" s="40"/>
    </row>
    <row r="137" spans="1:6" x14ac:dyDescent="0.25">
      <c r="A137" s="37"/>
      <c r="D137" s="38"/>
      <c r="E137" s="39"/>
      <c r="F137" s="40"/>
    </row>
    <row r="138" spans="1:6" x14ac:dyDescent="0.25">
      <c r="A138" s="37"/>
      <c r="D138" s="38"/>
      <c r="E138" s="39"/>
      <c r="F138" s="40"/>
    </row>
    <row r="139" spans="1:6" x14ac:dyDescent="0.25">
      <c r="A139" s="37"/>
      <c r="D139" s="38"/>
      <c r="E139" s="39"/>
      <c r="F139" s="40"/>
    </row>
    <row r="140" spans="1:6" x14ac:dyDescent="0.25">
      <c r="A140" s="37"/>
      <c r="D140" s="38"/>
      <c r="E140" s="39"/>
      <c r="F140" s="40"/>
    </row>
    <row r="141" spans="1:6" x14ac:dyDescent="0.25">
      <c r="A141" s="37"/>
      <c r="D141" s="38"/>
      <c r="E141" s="39"/>
      <c r="F141" s="40"/>
    </row>
    <row r="142" spans="1:6" x14ac:dyDescent="0.25">
      <c r="A142" s="37"/>
      <c r="D142" s="38"/>
      <c r="E142" s="39"/>
      <c r="F142" s="40"/>
    </row>
    <row r="143" spans="1:6" x14ac:dyDescent="0.25">
      <c r="A143" s="37"/>
      <c r="D143" s="38"/>
      <c r="E143" s="39"/>
      <c r="F143" s="40"/>
    </row>
    <row r="144" spans="1:6" x14ac:dyDescent="0.25">
      <c r="A144" s="37"/>
      <c r="D144" s="38"/>
      <c r="E144" s="39"/>
      <c r="F144" s="40"/>
    </row>
    <row r="145" spans="1:6" x14ac:dyDescent="0.25">
      <c r="A145" s="37"/>
      <c r="D145" s="38"/>
      <c r="E145" s="39"/>
      <c r="F145" s="40"/>
    </row>
    <row r="146" spans="1:6" x14ac:dyDescent="0.25">
      <c r="A146" s="37"/>
      <c r="D146" s="38"/>
      <c r="E146" s="39"/>
      <c r="F146" s="40"/>
    </row>
    <row r="147" spans="1:6" x14ac:dyDescent="0.25">
      <c r="A147" s="37"/>
      <c r="D147" s="38"/>
      <c r="E147" s="39"/>
      <c r="F147" s="40"/>
    </row>
    <row r="148" spans="1:6" x14ac:dyDescent="0.25">
      <c r="A148" s="37"/>
      <c r="D148" s="38"/>
      <c r="E148" s="39"/>
      <c r="F148" s="40"/>
    </row>
    <row r="149" spans="1:6" x14ac:dyDescent="0.25">
      <c r="A149" s="37"/>
      <c r="D149" s="38"/>
      <c r="E149" s="39"/>
      <c r="F149" s="40"/>
    </row>
    <row r="150" spans="1:6" x14ac:dyDescent="0.25">
      <c r="A150" s="37"/>
      <c r="D150" s="38"/>
      <c r="E150" s="39"/>
      <c r="F150" s="40"/>
    </row>
    <row r="151" spans="1:6" x14ac:dyDescent="0.25">
      <c r="A151" s="37"/>
      <c r="D151" s="38"/>
      <c r="E151" s="39"/>
      <c r="F151" s="40"/>
    </row>
    <row r="152" spans="1:6" x14ac:dyDescent="0.25">
      <c r="A152" s="37"/>
      <c r="D152" s="38"/>
      <c r="E152" s="39"/>
      <c r="F152" s="40"/>
    </row>
    <row r="153" spans="1:6" x14ac:dyDescent="0.25">
      <c r="A153" s="37"/>
      <c r="D153" s="38"/>
      <c r="E153" s="39"/>
      <c r="F153" s="40"/>
    </row>
    <row r="154" spans="1:6" x14ac:dyDescent="0.25">
      <c r="A154" s="37"/>
      <c r="D154" s="38"/>
      <c r="E154" s="39"/>
      <c r="F154" s="40"/>
    </row>
    <row r="155" spans="1:6" x14ac:dyDescent="0.25">
      <c r="A155" s="37"/>
      <c r="D155" s="38"/>
      <c r="E155" s="39"/>
      <c r="F155" s="40"/>
    </row>
    <row r="156" spans="1:6" x14ac:dyDescent="0.25">
      <c r="A156" s="37"/>
      <c r="D156" s="38"/>
      <c r="E156" s="39"/>
      <c r="F156" s="40"/>
    </row>
    <row r="157" spans="1:6" x14ac:dyDescent="0.25">
      <c r="A157" s="37"/>
      <c r="D157" s="38"/>
      <c r="E157" s="39"/>
      <c r="F157" s="40"/>
    </row>
    <row r="158" spans="1:6" x14ac:dyDescent="0.25">
      <c r="A158" s="37"/>
      <c r="D158" s="38"/>
      <c r="E158" s="39"/>
      <c r="F158" s="40"/>
    </row>
    <row r="159" spans="1:6" x14ac:dyDescent="0.25">
      <c r="A159" s="37"/>
      <c r="D159" s="38"/>
      <c r="E159" s="39"/>
      <c r="F159" s="40"/>
    </row>
    <row r="160" spans="1:6" x14ac:dyDescent="0.25">
      <c r="A160" s="37"/>
      <c r="D160" s="38"/>
      <c r="E160" s="39"/>
      <c r="F160" s="40"/>
    </row>
    <row r="161" spans="1:6" x14ac:dyDescent="0.25">
      <c r="A161" s="37"/>
      <c r="D161" s="38"/>
      <c r="E161" s="39"/>
      <c r="F161" s="40"/>
    </row>
    <row r="162" spans="1:6" x14ac:dyDescent="0.25">
      <c r="A162" s="37"/>
      <c r="D162" s="38"/>
      <c r="E162" s="39"/>
      <c r="F162" s="40"/>
    </row>
    <row r="163" spans="1:6" x14ac:dyDescent="0.25">
      <c r="A163" s="37"/>
      <c r="D163" s="38"/>
      <c r="E163" s="39"/>
      <c r="F163" s="40"/>
    </row>
    <row r="164" spans="1:6" x14ac:dyDescent="0.25">
      <c r="A164" s="37"/>
      <c r="D164" s="38"/>
      <c r="E164" s="39"/>
      <c r="F164" s="40"/>
    </row>
    <row r="165" spans="1:6" x14ac:dyDescent="0.25">
      <c r="A165" s="37"/>
      <c r="D165" s="38"/>
      <c r="E165" s="39"/>
      <c r="F165" s="40"/>
    </row>
    <row r="166" spans="1:6" x14ac:dyDescent="0.25">
      <c r="A166" s="37"/>
      <c r="D166" s="38"/>
      <c r="E166" s="39"/>
      <c r="F166" s="40"/>
    </row>
    <row r="167" spans="1:6" x14ac:dyDescent="0.25">
      <c r="A167" s="37"/>
      <c r="D167" s="38"/>
      <c r="E167" s="39"/>
      <c r="F167" s="40"/>
    </row>
    <row r="168" spans="1:6" x14ac:dyDescent="0.25">
      <c r="A168" s="37"/>
      <c r="D168" s="38"/>
      <c r="E168" s="39"/>
      <c r="F168" s="40"/>
    </row>
    <row r="169" spans="1:6" x14ac:dyDescent="0.25">
      <c r="A169" s="37"/>
      <c r="D169" s="38"/>
      <c r="E169" s="39"/>
      <c r="F169" s="40"/>
    </row>
    <row r="170" spans="1:6" x14ac:dyDescent="0.25">
      <c r="A170" s="37"/>
      <c r="D170" s="38"/>
      <c r="E170" s="39"/>
      <c r="F170" s="40"/>
    </row>
    <row r="171" spans="1:6" x14ac:dyDescent="0.25">
      <c r="A171" s="37"/>
      <c r="D171" s="38"/>
      <c r="E171" s="39"/>
      <c r="F171" s="40"/>
    </row>
    <row r="172" spans="1:6" x14ac:dyDescent="0.25">
      <c r="A172" s="37"/>
      <c r="D172" s="38"/>
      <c r="E172" s="39"/>
      <c r="F172" s="40"/>
    </row>
    <row r="173" spans="1:6" x14ac:dyDescent="0.25">
      <c r="A173" s="37"/>
      <c r="D173" s="38"/>
      <c r="E173" s="39"/>
      <c r="F173" s="40"/>
    </row>
    <row r="174" spans="1:6" x14ac:dyDescent="0.25">
      <c r="A174" s="37"/>
      <c r="D174" s="38"/>
      <c r="E174" s="39"/>
      <c r="F174" s="40"/>
    </row>
    <row r="175" spans="1:6" x14ac:dyDescent="0.25">
      <c r="A175" s="37"/>
      <c r="D175" s="38"/>
      <c r="E175" s="39"/>
      <c r="F175" s="40"/>
    </row>
    <row r="176" spans="1:6" x14ac:dyDescent="0.25">
      <c r="A176" s="37"/>
      <c r="D176" s="38"/>
      <c r="E176" s="39"/>
      <c r="F176" s="40"/>
    </row>
    <row r="177" spans="1:6" x14ac:dyDescent="0.25">
      <c r="A177" s="37"/>
      <c r="D177" s="38"/>
      <c r="E177" s="39"/>
      <c r="F177" s="40"/>
    </row>
    <row r="178" spans="1:6" x14ac:dyDescent="0.25">
      <c r="A178" s="37"/>
      <c r="D178" s="38"/>
      <c r="E178" s="39"/>
      <c r="F178" s="40"/>
    </row>
    <row r="179" spans="1:6" x14ac:dyDescent="0.25">
      <c r="A179" s="37"/>
      <c r="D179" s="38"/>
      <c r="E179" s="39"/>
      <c r="F179" s="40"/>
    </row>
    <row r="180" spans="1:6" x14ac:dyDescent="0.25">
      <c r="A180" s="37"/>
      <c r="D180" s="38"/>
      <c r="E180" s="39"/>
      <c r="F180" s="40"/>
    </row>
    <row r="181" spans="1:6" x14ac:dyDescent="0.25">
      <c r="A181" s="37"/>
      <c r="D181" s="38"/>
      <c r="E181" s="39"/>
      <c r="F181" s="40"/>
    </row>
    <row r="182" spans="1:6" x14ac:dyDescent="0.25">
      <c r="A182" s="37"/>
      <c r="D182" s="38"/>
      <c r="E182" s="39"/>
      <c r="F182" s="40"/>
    </row>
    <row r="183" spans="1:6" x14ac:dyDescent="0.25">
      <c r="A183" s="37"/>
      <c r="D183" s="38"/>
      <c r="E183" s="39"/>
      <c r="F183" s="40"/>
    </row>
    <row r="184" spans="1:6" x14ac:dyDescent="0.25">
      <c r="A184" s="37"/>
      <c r="D184" s="38"/>
      <c r="E184" s="39"/>
      <c r="F184" s="40"/>
    </row>
    <row r="185" spans="1:6" x14ac:dyDescent="0.25">
      <c r="A185" s="37"/>
      <c r="D185" s="38"/>
      <c r="E185" s="39"/>
      <c r="F185" s="40"/>
    </row>
    <row r="186" spans="1:6" x14ac:dyDescent="0.25">
      <c r="A186" s="37"/>
      <c r="D186" s="38"/>
      <c r="E186" s="39"/>
      <c r="F186" s="40"/>
    </row>
    <row r="187" spans="1:6" x14ac:dyDescent="0.25">
      <c r="A187" s="37"/>
      <c r="D187" s="38"/>
      <c r="E187" s="39"/>
      <c r="F187" s="40"/>
    </row>
    <row r="188" spans="1:6" x14ac:dyDescent="0.25">
      <c r="A188" s="37"/>
      <c r="D188" s="38"/>
      <c r="E188" s="39"/>
      <c r="F188" s="40"/>
    </row>
    <row r="189" spans="1:6" x14ac:dyDescent="0.25">
      <c r="A189" s="37"/>
      <c r="D189" s="38"/>
      <c r="E189" s="39"/>
      <c r="F189" s="40"/>
    </row>
    <row r="190" spans="1:6" x14ac:dyDescent="0.25">
      <c r="A190" s="37"/>
      <c r="D190" s="38"/>
      <c r="E190" s="39"/>
      <c r="F190" s="40"/>
    </row>
    <row r="191" spans="1:6" x14ac:dyDescent="0.25">
      <c r="A191" s="37"/>
      <c r="D191" s="38"/>
      <c r="E191" s="39"/>
      <c r="F191" s="40"/>
    </row>
    <row r="192" spans="1:6" x14ac:dyDescent="0.25">
      <c r="A192" s="37"/>
      <c r="D192" s="38"/>
      <c r="E192" s="39"/>
      <c r="F192" s="40"/>
    </row>
    <row r="193" spans="1:6" x14ac:dyDescent="0.25">
      <c r="A193" s="37"/>
      <c r="D193" s="38"/>
      <c r="E193" s="39"/>
      <c r="F193" s="40"/>
    </row>
    <row r="194" spans="1:6" x14ac:dyDescent="0.25">
      <c r="A194" s="37"/>
      <c r="D194" s="38"/>
      <c r="E194" s="39"/>
      <c r="F194" s="40"/>
    </row>
    <row r="195" spans="1:6" x14ac:dyDescent="0.25">
      <c r="A195" s="37"/>
      <c r="D195" s="38"/>
      <c r="E195" s="39"/>
      <c r="F195" s="40"/>
    </row>
    <row r="196" spans="1:6" x14ac:dyDescent="0.25">
      <c r="A196" s="37"/>
      <c r="D196" s="38"/>
      <c r="E196" s="39"/>
      <c r="F196" s="40"/>
    </row>
    <row r="197" spans="1:6" x14ac:dyDescent="0.25">
      <c r="A197" s="37"/>
      <c r="D197" s="38"/>
      <c r="E197" s="39"/>
      <c r="F197" s="40"/>
    </row>
    <row r="198" spans="1:6" x14ac:dyDescent="0.25">
      <c r="A198" s="37"/>
      <c r="D198" s="38"/>
      <c r="E198" s="39"/>
      <c r="F198" s="40"/>
    </row>
    <row r="199" spans="1:6" x14ac:dyDescent="0.25">
      <c r="A199" s="37"/>
      <c r="D199" s="38"/>
      <c r="E199" s="39"/>
      <c r="F199" s="40"/>
    </row>
    <row r="200" spans="1:6" x14ac:dyDescent="0.25">
      <c r="A200" s="37"/>
      <c r="D200" s="38"/>
      <c r="E200" s="39"/>
      <c r="F200" s="40"/>
    </row>
    <row r="201" spans="1:6" x14ac:dyDescent="0.25">
      <c r="A201" s="37"/>
      <c r="D201" s="38"/>
      <c r="E201" s="39"/>
      <c r="F201" s="40"/>
    </row>
    <row r="202" spans="1:6" x14ac:dyDescent="0.25">
      <c r="A202" s="37"/>
      <c r="D202" s="38"/>
      <c r="E202" s="39"/>
      <c r="F202" s="40"/>
    </row>
    <row r="203" spans="1:6" x14ac:dyDescent="0.25">
      <c r="A203" s="37"/>
      <c r="D203" s="38"/>
      <c r="E203" s="39"/>
      <c r="F203" s="40"/>
    </row>
    <row r="204" spans="1:6" x14ac:dyDescent="0.25">
      <c r="A204" s="37"/>
      <c r="D204" s="38"/>
      <c r="E204" s="39"/>
      <c r="F204" s="40"/>
    </row>
    <row r="205" spans="1:6" x14ac:dyDescent="0.25">
      <c r="A205" s="37"/>
      <c r="D205" s="38"/>
      <c r="E205" s="39"/>
      <c r="F205" s="40"/>
    </row>
    <row r="206" spans="1:6" x14ac:dyDescent="0.25">
      <c r="A206" s="37"/>
      <c r="D206" s="38"/>
      <c r="E206" s="39"/>
      <c r="F206" s="40"/>
    </row>
    <row r="207" spans="1:6" x14ac:dyDescent="0.25">
      <c r="A207" s="37"/>
      <c r="D207" s="38"/>
      <c r="E207" s="39"/>
      <c r="F207" s="40"/>
    </row>
    <row r="208" spans="1:6" x14ac:dyDescent="0.25">
      <c r="A208" s="37"/>
      <c r="D208" s="38"/>
      <c r="E208" s="39"/>
      <c r="F208" s="40"/>
    </row>
    <row r="209" spans="1:6" x14ac:dyDescent="0.25">
      <c r="A209" s="37"/>
      <c r="D209" s="38"/>
      <c r="E209" s="39"/>
      <c r="F209" s="40"/>
    </row>
    <row r="210" spans="1:6" x14ac:dyDescent="0.25">
      <c r="A210" s="37"/>
      <c r="D210" s="38"/>
      <c r="E210" s="39"/>
      <c r="F210" s="40"/>
    </row>
    <row r="211" spans="1:6" x14ac:dyDescent="0.25">
      <c r="A211" s="37"/>
      <c r="D211" s="38"/>
      <c r="E211" s="39"/>
      <c r="F211" s="40"/>
    </row>
    <row r="212" spans="1:6" x14ac:dyDescent="0.25">
      <c r="A212" s="37"/>
      <c r="D212" s="38"/>
      <c r="E212" s="39"/>
      <c r="F212" s="40"/>
    </row>
    <row r="213" spans="1:6" x14ac:dyDescent="0.25">
      <c r="A213" s="37"/>
      <c r="D213" s="38"/>
      <c r="E213" s="39"/>
      <c r="F213" s="40"/>
    </row>
    <row r="214" spans="1:6" x14ac:dyDescent="0.25">
      <c r="A214" s="37"/>
      <c r="D214" s="38"/>
      <c r="E214" s="39"/>
      <c r="F214" s="40"/>
    </row>
    <row r="215" spans="1:6" x14ac:dyDescent="0.25">
      <c r="A215" s="37"/>
      <c r="D215" s="38"/>
      <c r="E215" s="39"/>
      <c r="F215" s="40"/>
    </row>
    <row r="216" spans="1:6" x14ac:dyDescent="0.25">
      <c r="A216" s="37"/>
      <c r="D216" s="38"/>
      <c r="E216" s="39"/>
      <c r="F216" s="40"/>
    </row>
    <row r="217" spans="1:6" x14ac:dyDescent="0.25">
      <c r="A217" s="37"/>
      <c r="D217" s="38"/>
      <c r="E217" s="39"/>
      <c r="F217" s="40"/>
    </row>
    <row r="218" spans="1:6" x14ac:dyDescent="0.25">
      <c r="A218" s="37"/>
      <c r="D218" s="38"/>
      <c r="E218" s="39"/>
      <c r="F218" s="40"/>
    </row>
    <row r="219" spans="1:6" x14ac:dyDescent="0.25">
      <c r="A219" s="37"/>
      <c r="D219" s="38"/>
      <c r="E219" s="39"/>
      <c r="F219" s="40"/>
    </row>
    <row r="220" spans="1:6" x14ac:dyDescent="0.25">
      <c r="A220" s="37"/>
      <c r="D220" s="38"/>
      <c r="E220" s="39"/>
      <c r="F220" s="40"/>
    </row>
    <row r="221" spans="1:6" x14ac:dyDescent="0.25">
      <c r="A221" s="37"/>
      <c r="D221" s="38"/>
      <c r="E221" s="39"/>
      <c r="F221" s="40"/>
    </row>
    <row r="222" spans="1:6" x14ac:dyDescent="0.25">
      <c r="A222" s="37"/>
      <c r="D222" s="38"/>
      <c r="E222" s="39"/>
      <c r="F222" s="40"/>
    </row>
    <row r="223" spans="1:6" x14ac:dyDescent="0.25">
      <c r="A223" s="37"/>
      <c r="D223" s="38"/>
      <c r="E223" s="39"/>
      <c r="F223" s="40"/>
    </row>
    <row r="224" spans="1:6" x14ac:dyDescent="0.25">
      <c r="A224" s="37"/>
      <c r="D224" s="38"/>
      <c r="E224" s="39"/>
      <c r="F224" s="40"/>
    </row>
    <row r="225" spans="1:6" x14ac:dyDescent="0.25">
      <c r="A225" s="37"/>
      <c r="D225" s="38"/>
      <c r="E225" s="39"/>
      <c r="F225" s="40"/>
    </row>
    <row r="226" spans="1:6" x14ac:dyDescent="0.25">
      <c r="A226" s="37"/>
      <c r="D226" s="38"/>
      <c r="E226" s="39"/>
      <c r="F226" s="40"/>
    </row>
    <row r="227" spans="1:6" x14ac:dyDescent="0.25">
      <c r="A227" s="37"/>
      <c r="D227" s="38"/>
      <c r="E227" s="39"/>
      <c r="F227" s="40"/>
    </row>
    <row r="228" spans="1:6" x14ac:dyDescent="0.25">
      <c r="A228" s="37"/>
      <c r="D228" s="38"/>
      <c r="E228" s="39"/>
      <c r="F228" s="40"/>
    </row>
    <row r="229" spans="1:6" x14ac:dyDescent="0.25">
      <c r="A229" s="37"/>
      <c r="D229" s="38"/>
      <c r="E229" s="39"/>
      <c r="F229" s="40"/>
    </row>
    <row r="230" spans="1:6" x14ac:dyDescent="0.25">
      <c r="A230" s="37"/>
      <c r="D230" s="38"/>
      <c r="E230" s="39"/>
      <c r="F230" s="40"/>
    </row>
    <row r="231" spans="1:6" x14ac:dyDescent="0.25">
      <c r="A231" s="37"/>
      <c r="D231" s="38"/>
      <c r="E231" s="39"/>
      <c r="F231" s="40"/>
    </row>
    <row r="232" spans="1:6" x14ac:dyDescent="0.25">
      <c r="A232" s="37"/>
      <c r="D232" s="38"/>
      <c r="E232" s="39"/>
      <c r="F232" s="40"/>
    </row>
    <row r="233" spans="1:6" x14ac:dyDescent="0.25">
      <c r="A233" s="37"/>
      <c r="D233" s="38"/>
      <c r="E233" s="39"/>
      <c r="F233" s="40"/>
    </row>
    <row r="234" spans="1:6" x14ac:dyDescent="0.25">
      <c r="A234" s="37"/>
      <c r="D234" s="38"/>
      <c r="E234" s="39"/>
      <c r="F234" s="40"/>
    </row>
    <row r="235" spans="1:6" x14ac:dyDescent="0.25">
      <c r="A235" s="37"/>
      <c r="D235" s="38"/>
      <c r="E235" s="39"/>
      <c r="F235" s="40"/>
    </row>
    <row r="236" spans="1:6" x14ac:dyDescent="0.25">
      <c r="A236" s="37"/>
      <c r="D236" s="38"/>
      <c r="E236" s="39"/>
      <c r="F236" s="40"/>
    </row>
    <row r="237" spans="1:6" x14ac:dyDescent="0.25">
      <c r="A237" s="37"/>
      <c r="D237" s="38"/>
      <c r="E237" s="39"/>
      <c r="F237" s="40"/>
    </row>
    <row r="238" spans="1:6" x14ac:dyDescent="0.25">
      <c r="A238" s="37"/>
      <c r="D238" s="38"/>
      <c r="E238" s="39"/>
      <c r="F238" s="40"/>
    </row>
    <row r="239" spans="1:6" x14ac:dyDescent="0.25">
      <c r="A239" s="37"/>
      <c r="D239" s="38"/>
      <c r="E239" s="39"/>
      <c r="F239" s="40"/>
    </row>
    <row r="240" spans="1:6" x14ac:dyDescent="0.25">
      <c r="A240" s="37"/>
      <c r="D240" s="38"/>
      <c r="E240" s="39"/>
      <c r="F240" s="40"/>
    </row>
    <row r="241" spans="1:6" x14ac:dyDescent="0.25">
      <c r="A241" s="37"/>
      <c r="D241" s="38"/>
      <c r="E241" s="39"/>
      <c r="F241" s="40"/>
    </row>
    <row r="242" spans="1:6" x14ac:dyDescent="0.25">
      <c r="A242" s="37"/>
      <c r="D242" s="38"/>
      <c r="E242" s="39"/>
      <c r="F242" s="40"/>
    </row>
    <row r="243" spans="1:6" x14ac:dyDescent="0.25">
      <c r="A243" s="37"/>
      <c r="D243" s="38"/>
      <c r="E243" s="39"/>
      <c r="F243" s="40"/>
    </row>
    <row r="244" spans="1:6" x14ac:dyDescent="0.25">
      <c r="A244" s="37"/>
      <c r="D244" s="38"/>
      <c r="E244" s="39"/>
      <c r="F244" s="40"/>
    </row>
    <row r="245" spans="1:6" x14ac:dyDescent="0.25">
      <c r="A245" s="37"/>
      <c r="D245" s="38"/>
      <c r="E245" s="39"/>
      <c r="F245" s="40"/>
    </row>
    <row r="246" spans="1:6" x14ac:dyDescent="0.25">
      <c r="A246" s="37"/>
      <c r="D246" s="38"/>
      <c r="E246" s="39"/>
      <c r="F246" s="40"/>
    </row>
    <row r="247" spans="1:6" x14ac:dyDescent="0.25">
      <c r="A247" s="37"/>
      <c r="D247" s="38"/>
      <c r="E247" s="39"/>
      <c r="F247" s="40"/>
    </row>
    <row r="248" spans="1:6" x14ac:dyDescent="0.25">
      <c r="A248" s="37"/>
      <c r="D248" s="38"/>
      <c r="E248" s="39"/>
      <c r="F248" s="40"/>
    </row>
    <row r="249" spans="1:6" x14ac:dyDescent="0.25">
      <c r="A249" s="37"/>
      <c r="D249" s="38"/>
      <c r="E249" s="39"/>
      <c r="F249" s="40"/>
    </row>
    <row r="250" spans="1:6" x14ac:dyDescent="0.25">
      <c r="A250" s="37"/>
      <c r="D250" s="38"/>
      <c r="E250" s="39"/>
      <c r="F250" s="40"/>
    </row>
    <row r="251" spans="1:6" x14ac:dyDescent="0.25">
      <c r="A251" s="37"/>
      <c r="D251" s="38"/>
      <c r="E251" s="39"/>
      <c r="F251" s="40"/>
    </row>
    <row r="252" spans="1:6" x14ac:dyDescent="0.25">
      <c r="A252" s="37"/>
      <c r="D252" s="38"/>
      <c r="E252" s="39"/>
      <c r="F252" s="40"/>
    </row>
    <row r="253" spans="1:6" x14ac:dyDescent="0.25">
      <c r="A253" s="37"/>
      <c r="D253" s="38"/>
      <c r="E253" s="39"/>
      <c r="F253" s="40"/>
    </row>
    <row r="254" spans="1:6" x14ac:dyDescent="0.25">
      <c r="A254" s="37"/>
      <c r="D254" s="38"/>
      <c r="E254" s="39"/>
      <c r="F254" s="40"/>
    </row>
    <row r="255" spans="1:6" x14ac:dyDescent="0.25">
      <c r="A255" s="37"/>
      <c r="D255" s="38"/>
      <c r="E255" s="39"/>
      <c r="F255" s="40"/>
    </row>
    <row r="256" spans="1:6" x14ac:dyDescent="0.25">
      <c r="A256" s="37"/>
      <c r="D256" s="38"/>
      <c r="E256" s="39"/>
      <c r="F256" s="40"/>
    </row>
    <row r="257" spans="1:6" x14ac:dyDescent="0.25">
      <c r="A257" s="37"/>
      <c r="D257" s="38"/>
      <c r="E257" s="39"/>
      <c r="F257" s="40"/>
    </row>
    <row r="258" spans="1:6" x14ac:dyDescent="0.25">
      <c r="A258" s="37"/>
      <c r="D258" s="38"/>
      <c r="E258" s="39"/>
      <c r="F258" s="40"/>
    </row>
    <row r="259" spans="1:6" x14ac:dyDescent="0.25">
      <c r="A259" s="37"/>
      <c r="D259" s="38"/>
      <c r="E259" s="39"/>
      <c r="F259" s="40"/>
    </row>
    <row r="260" spans="1:6" x14ac:dyDescent="0.25">
      <c r="A260" s="37"/>
      <c r="D260" s="38"/>
      <c r="E260" s="39"/>
      <c r="F260" s="40"/>
    </row>
    <row r="261" spans="1:6" x14ac:dyDescent="0.25">
      <c r="A261" s="37"/>
      <c r="D261" s="38"/>
      <c r="E261" s="39"/>
      <c r="F261" s="40"/>
    </row>
    <row r="262" spans="1:6" x14ac:dyDescent="0.25">
      <c r="A262" s="37"/>
      <c r="D262" s="38"/>
      <c r="E262" s="39"/>
      <c r="F262" s="40"/>
    </row>
    <row r="263" spans="1:6" x14ac:dyDescent="0.25">
      <c r="A263" s="37"/>
      <c r="D263" s="38"/>
      <c r="E263" s="39"/>
      <c r="F263" s="40"/>
    </row>
    <row r="264" spans="1:6" x14ac:dyDescent="0.25">
      <c r="A264" s="37"/>
      <c r="D264" s="38"/>
      <c r="E264" s="39"/>
      <c r="F264" s="40"/>
    </row>
    <row r="265" spans="1:6" x14ac:dyDescent="0.25">
      <c r="A265" s="37"/>
      <c r="D265" s="38"/>
      <c r="E265" s="39"/>
      <c r="F265" s="40"/>
    </row>
    <row r="266" spans="1:6" x14ac:dyDescent="0.25">
      <c r="A266" s="37"/>
      <c r="D266" s="38"/>
      <c r="E266" s="39"/>
      <c r="F266" s="40"/>
    </row>
    <row r="267" spans="1:6" x14ac:dyDescent="0.25">
      <c r="A267" s="37"/>
      <c r="D267" s="38"/>
      <c r="E267" s="39"/>
      <c r="F267" s="40"/>
    </row>
    <row r="268" spans="1:6" x14ac:dyDescent="0.25">
      <c r="A268" s="37"/>
      <c r="D268" s="38"/>
      <c r="E268" s="39"/>
      <c r="F268" s="40"/>
    </row>
    <row r="269" spans="1:6" x14ac:dyDescent="0.25">
      <c r="A269" s="37"/>
      <c r="D269" s="38"/>
      <c r="E269" s="39"/>
      <c r="F269" s="40"/>
    </row>
    <row r="270" spans="1:6" x14ac:dyDescent="0.25">
      <c r="A270" s="37"/>
      <c r="D270" s="38"/>
      <c r="E270" s="39"/>
      <c r="F270" s="40"/>
    </row>
    <row r="271" spans="1:6" x14ac:dyDescent="0.25">
      <c r="A271" s="37"/>
      <c r="D271" s="38"/>
      <c r="E271" s="39"/>
      <c r="F271" s="40"/>
    </row>
    <row r="272" spans="1:6" x14ac:dyDescent="0.25">
      <c r="A272" s="37"/>
      <c r="D272" s="38"/>
      <c r="E272" s="39"/>
      <c r="F272" s="40"/>
    </row>
    <row r="273" spans="1:14" x14ac:dyDescent="0.25">
      <c r="A273" s="37"/>
      <c r="D273" s="38"/>
      <c r="E273" s="39"/>
      <c r="F273" s="40"/>
    </row>
    <row r="274" spans="1:14" x14ac:dyDescent="0.25">
      <c r="A274" s="37"/>
      <c r="D274" s="38"/>
      <c r="E274" s="39"/>
      <c r="F274" s="40"/>
    </row>
    <row r="275" spans="1:14" x14ac:dyDescent="0.25">
      <c r="A275" s="37"/>
      <c r="D275" s="38"/>
      <c r="E275" s="39"/>
      <c r="F275" s="40"/>
    </row>
    <row r="276" spans="1:14" x14ac:dyDescent="0.25">
      <c r="A276" s="37"/>
      <c r="D276" s="38"/>
      <c r="E276" s="39"/>
      <c r="F276" s="40"/>
    </row>
    <row r="277" spans="1:14" x14ac:dyDescent="0.25">
      <c r="A277" s="37"/>
      <c r="D277" s="38"/>
      <c r="E277" s="39"/>
      <c r="F277" s="40"/>
    </row>
    <row r="278" spans="1:14" x14ac:dyDescent="0.25">
      <c r="A278" s="37"/>
      <c r="D278" s="38"/>
      <c r="E278" s="39"/>
      <c r="F278" s="40"/>
    </row>
    <row r="279" spans="1:14" x14ac:dyDescent="0.25">
      <c r="A279" s="37"/>
      <c r="D279" s="38"/>
      <c r="E279" s="39"/>
      <c r="F279" s="40"/>
    </row>
    <row r="280" spans="1:14" x14ac:dyDescent="0.25">
      <c r="A280" s="37"/>
      <c r="D280" s="38"/>
      <c r="E280" s="39"/>
      <c r="F280" s="40"/>
    </row>
    <row r="281" spans="1:14" x14ac:dyDescent="0.25">
      <c r="A281" s="37"/>
      <c r="D281" s="38"/>
      <c r="E281" s="39"/>
      <c r="F281" s="40"/>
    </row>
    <row r="282" spans="1:14" x14ac:dyDescent="0.25">
      <c r="A282" s="37"/>
      <c r="D282" s="38"/>
      <c r="E282" s="39"/>
      <c r="F282" s="40"/>
    </row>
    <row r="283" spans="1:14" outlineLevel="1" x14ac:dyDescent="0.25">
      <c r="A283" s="36" t="s">
        <v>143</v>
      </c>
      <c r="B283" s="2" t="s">
        <v>156</v>
      </c>
      <c r="C283" s="36" t="s">
        <v>144</v>
      </c>
      <c r="D283" s="36" t="s">
        <v>145</v>
      </c>
      <c r="E283" s="36" t="s">
        <v>146</v>
      </c>
      <c r="F283" s="36" t="s">
        <v>147</v>
      </c>
      <c r="G283" s="36" t="s">
        <v>148</v>
      </c>
      <c r="H283" s="36" t="s">
        <v>149</v>
      </c>
      <c r="I283" s="36" t="s">
        <v>150</v>
      </c>
      <c r="J283" s="36" t="s">
        <v>151</v>
      </c>
      <c r="K283" s="36" t="s">
        <v>152</v>
      </c>
      <c r="L283" s="36" t="s">
        <v>153</v>
      </c>
      <c r="M283" s="36" t="s">
        <v>154</v>
      </c>
      <c r="N283" s="36" t="s">
        <v>155</v>
      </c>
    </row>
    <row r="284" spans="1:14" outlineLevel="1" x14ac:dyDescent="0.25">
      <c r="A284" s="2" t="s">
        <v>157</v>
      </c>
      <c r="B284" s="56">
        <v>0</v>
      </c>
      <c r="C284" s="56">
        <f t="shared" ref="C284:N284" si="68">B82</f>
        <v>-2612.48</v>
      </c>
      <c r="D284" s="56">
        <f t="shared" si="68"/>
        <v>-3664.24</v>
      </c>
      <c r="E284" s="56">
        <f t="shared" si="68"/>
        <v>-3302.7279999999996</v>
      </c>
      <c r="F284" s="56">
        <f t="shared" si="68"/>
        <v>-3107.1359999999995</v>
      </c>
      <c r="G284" s="56">
        <f t="shared" si="68"/>
        <v>-602.20607999999947</v>
      </c>
      <c r="H284" s="56">
        <f t="shared" si="68"/>
        <v>1034.0838400000007</v>
      </c>
      <c r="I284" s="56">
        <f t="shared" si="68"/>
        <v>2670.3737600000009</v>
      </c>
      <c r="J284" s="56">
        <f t="shared" si="68"/>
        <v>4740.9836800000012</v>
      </c>
      <c r="K284" s="56">
        <f t="shared" si="68"/>
        <v>7176.0292864000012</v>
      </c>
      <c r="L284" s="56">
        <f t="shared" si="68"/>
        <v>10974.937292800001</v>
      </c>
      <c r="M284" s="56">
        <f t="shared" si="68"/>
        <v>15455.776499200001</v>
      </c>
      <c r="N284" s="56">
        <f t="shared" si="68"/>
        <v>19936.615705600001</v>
      </c>
    </row>
    <row r="285" spans="1:14" outlineLevel="1" x14ac:dyDescent="0.25">
      <c r="A285" s="2" t="s">
        <v>136</v>
      </c>
      <c r="B285" s="56">
        <f t="shared" ref="B285:M285" si="69">B79*B287</f>
        <v>-1934.4875698230537</v>
      </c>
      <c r="C285" s="56">
        <f t="shared" si="69"/>
        <v>0</v>
      </c>
      <c r="D285" s="56">
        <f t="shared" si="69"/>
        <v>0</v>
      </c>
      <c r="E285" s="56">
        <f t="shared" si="69"/>
        <v>0</v>
      </c>
      <c r="F285" s="56">
        <f t="shared" si="69"/>
        <v>0</v>
      </c>
      <c r="G285" s="56">
        <f t="shared" si="69"/>
        <v>0</v>
      </c>
      <c r="H285" s="56">
        <f t="shared" si="69"/>
        <v>0</v>
      </c>
      <c r="I285" s="56">
        <f t="shared" si="69"/>
        <v>0</v>
      </c>
      <c r="J285" s="56">
        <f t="shared" si="69"/>
        <v>0</v>
      </c>
      <c r="K285" s="56">
        <f t="shared" si="69"/>
        <v>0</v>
      </c>
      <c r="L285" s="56">
        <f t="shared" si="69"/>
        <v>0</v>
      </c>
      <c r="M285" s="56">
        <f t="shared" si="69"/>
        <v>0</v>
      </c>
    </row>
    <row r="286" spans="1:14" outlineLevel="1" x14ac:dyDescent="0.25">
      <c r="A286" s="2" t="s">
        <v>137</v>
      </c>
      <c r="B286" s="56">
        <f t="shared" ref="B286:M286" si="70">B80*B287</f>
        <v>-592.417473382612</v>
      </c>
      <c r="C286" s="56">
        <f t="shared" si="70"/>
        <v>-983.98515297190659</v>
      </c>
      <c r="D286" s="56">
        <f t="shared" si="70"/>
        <v>327.13767384612083</v>
      </c>
      <c r="E286" s="56">
        <f t="shared" si="70"/>
        <v>171.19649890590819</v>
      </c>
      <c r="F286" s="56">
        <f t="shared" si="70"/>
        <v>2120.6808724366988</v>
      </c>
      <c r="G286" s="56">
        <f t="shared" si="70"/>
        <v>1339.9109673976002</v>
      </c>
      <c r="H286" s="56">
        <f t="shared" si="70"/>
        <v>1296.0205555501198</v>
      </c>
      <c r="I286" s="56">
        <f t="shared" si="70"/>
        <v>1586.3020038400948</v>
      </c>
      <c r="J286" s="56">
        <f t="shared" si="70"/>
        <v>1804.3909073188913</v>
      </c>
      <c r="K286" s="56">
        <f t="shared" si="70"/>
        <v>2722.8157559104743</v>
      </c>
      <c r="L286" s="56">
        <f t="shared" si="70"/>
        <v>3106.381460730433</v>
      </c>
      <c r="M286" s="56">
        <f t="shared" si="70"/>
        <v>3004.6281614559016</v>
      </c>
    </row>
    <row r="287" spans="1:14" outlineLevel="1" x14ac:dyDescent="0.25">
      <c r="A287" s="2" t="str">
        <f t="shared" ref="A287:M287" si="71">A84</f>
        <v>Коэффициент дисконтирования</v>
      </c>
      <c r="B287" s="57">
        <f t="shared" si="71"/>
        <v>0.96724378491152685</v>
      </c>
      <c r="C287" s="57">
        <f t="shared" si="71"/>
        <v>0.93556053944997586</v>
      </c>
      <c r="D287" s="57">
        <f t="shared" si="71"/>
        <v>0.90491511719146445</v>
      </c>
      <c r="E287" s="57">
        <f t="shared" si="71"/>
        <v>0.87527352297592997</v>
      </c>
      <c r="F287" s="57">
        <f t="shared" si="71"/>
        <v>0.84660287519608479</v>
      </c>
      <c r="G287" s="57">
        <f t="shared" si="71"/>
        <v>0.81887136932164195</v>
      </c>
      <c r="H287" s="57">
        <f t="shared" si="71"/>
        <v>0.7920482426183495</v>
      </c>
      <c r="I287" s="57">
        <f t="shared" si="71"/>
        <v>0.76610374002269577</v>
      </c>
      <c r="J287" s="57">
        <f t="shared" si="71"/>
        <v>0.74100908113442854</v>
      </c>
      <c r="K287" s="57">
        <f t="shared" si="71"/>
        <v>0.71673642829027739</v>
      </c>
      <c r="L287" s="57">
        <f t="shared" si="71"/>
        <v>0.69325885568345691</v>
      </c>
      <c r="M287" s="57">
        <f t="shared" si="71"/>
        <v>0.67055031949470079</v>
      </c>
    </row>
    <row r="290" spans="2:17" x14ac:dyDescent="0.25">
      <c r="B290" s="2" t="s">
        <v>216</v>
      </c>
      <c r="C290" s="207">
        <f>B81</f>
        <v>-2612.48</v>
      </c>
      <c r="D290" s="207">
        <f t="shared" ref="D290:N291" si="72">C81</f>
        <v>-1051.76</v>
      </c>
      <c r="E290" s="207">
        <f t="shared" si="72"/>
        <v>361.51200000000017</v>
      </c>
      <c r="F290" s="207">
        <f t="shared" si="72"/>
        <v>195.5920000000001</v>
      </c>
      <c r="G290" s="207">
        <f t="shared" si="72"/>
        <v>2504.92992</v>
      </c>
      <c r="H290" s="207">
        <f t="shared" si="72"/>
        <v>1636.2899200000002</v>
      </c>
      <c r="I290" s="207">
        <f t="shared" si="72"/>
        <v>1636.2899200000002</v>
      </c>
      <c r="J290" s="207">
        <f t="shared" si="72"/>
        <v>2070.6099199999999</v>
      </c>
      <c r="K290" s="207">
        <f t="shared" si="72"/>
        <v>2435.0456064</v>
      </c>
      <c r="L290" s="207">
        <f t="shared" si="72"/>
        <v>3798.9080064</v>
      </c>
      <c r="M290" s="207">
        <f t="shared" si="72"/>
        <v>4480.8392064</v>
      </c>
      <c r="N290" s="207">
        <f t="shared" si="72"/>
        <v>4480.8392064</v>
      </c>
    </row>
    <row r="291" spans="2:17" x14ac:dyDescent="0.25">
      <c r="B291" s="2" t="s">
        <v>217</v>
      </c>
      <c r="C291" s="207">
        <f>B82</f>
        <v>-2612.48</v>
      </c>
      <c r="D291" s="207">
        <f t="shared" si="72"/>
        <v>-3664.24</v>
      </c>
      <c r="E291" s="207">
        <f t="shared" si="72"/>
        <v>-3302.7279999999996</v>
      </c>
      <c r="F291" s="207">
        <f t="shared" si="72"/>
        <v>-3107.1359999999995</v>
      </c>
      <c r="G291" s="207">
        <f t="shared" si="72"/>
        <v>-602.20607999999947</v>
      </c>
      <c r="H291" s="207">
        <f t="shared" si="72"/>
        <v>1034.0838400000007</v>
      </c>
      <c r="I291" s="207">
        <f t="shared" si="72"/>
        <v>2670.3737600000009</v>
      </c>
      <c r="J291" s="207">
        <f t="shared" si="72"/>
        <v>4740.9836800000012</v>
      </c>
      <c r="K291" s="207">
        <f t="shared" si="72"/>
        <v>7176.0292864000012</v>
      </c>
      <c r="L291" s="207">
        <f t="shared" si="72"/>
        <v>10974.937292800001</v>
      </c>
      <c r="M291" s="207">
        <f t="shared" si="72"/>
        <v>15455.776499200001</v>
      </c>
      <c r="N291" s="207">
        <f t="shared" si="72"/>
        <v>19936.615705600001</v>
      </c>
      <c r="O291" s="208">
        <f>INDEX(C291:N291,COUNTIF($C292:N292,0))</f>
        <v>-602.20607999999947</v>
      </c>
      <c r="P291" s="209">
        <f>INDEX(C291:N291,COUNTIF($C292:N292,0)+1)</f>
        <v>1034.0838400000007</v>
      </c>
      <c r="Q291" s="210">
        <f>COUNTIF($C292:N292,0) + ABS(O291)/P291</f>
        <v>5.5823571133265162</v>
      </c>
    </row>
    <row r="292" spans="2:17" x14ac:dyDescent="0.25">
      <c r="C292" s="2">
        <f>IF(C291&gt;=0,1,0)</f>
        <v>0</v>
      </c>
      <c r="D292" s="2">
        <f t="shared" ref="D292:N292" si="73">IF(D291&gt;=0,1,0)</f>
        <v>0</v>
      </c>
      <c r="E292" s="2">
        <f t="shared" si="73"/>
        <v>0</v>
      </c>
      <c r="F292" s="2">
        <f t="shared" si="73"/>
        <v>0</v>
      </c>
      <c r="G292" s="2">
        <f t="shared" si="73"/>
        <v>0</v>
      </c>
      <c r="H292" s="2">
        <f t="shared" si="73"/>
        <v>1</v>
      </c>
      <c r="I292" s="2">
        <f t="shared" si="73"/>
        <v>1</v>
      </c>
      <c r="J292" s="2">
        <f t="shared" si="73"/>
        <v>1</v>
      </c>
      <c r="K292" s="2">
        <f t="shared" si="73"/>
        <v>1</v>
      </c>
      <c r="L292" s="2">
        <f t="shared" si="73"/>
        <v>1</v>
      </c>
      <c r="M292" s="2">
        <f t="shared" si="73"/>
        <v>1</v>
      </c>
      <c r="N292" s="2">
        <f t="shared" si="73"/>
        <v>1</v>
      </c>
    </row>
    <row r="307" spans="14:14" x14ac:dyDescent="0.25">
      <c r="N307" s="57"/>
    </row>
  </sheetData>
  <sheetProtection algorithmName="SHA-512" hashValue="tMnNn92rZTIhXKdV2geAaas0tDqrqiAp4lVAdicVi6Epz2sJEACi/64NQFAfXtzaPD7QrhIlun4C/RN4kNbagA==" saltValue="vq9keS40JmUkPEOpfrfQLA==" spinCount="100000" sheet="1" objects="1" scenarios="1" selectLockedCells="1" selectUnlockedCells="1"/>
  <mergeCells count="35">
    <mergeCell ref="Q32:Q33"/>
    <mergeCell ref="B32:E32"/>
    <mergeCell ref="F32:F33"/>
    <mergeCell ref="G32:J32"/>
    <mergeCell ref="K32:K33"/>
    <mergeCell ref="L32:O32"/>
    <mergeCell ref="P32:P33"/>
    <mergeCell ref="Q21:Q22"/>
    <mergeCell ref="A21:A22"/>
    <mergeCell ref="A3:A4"/>
    <mergeCell ref="B3:E3"/>
    <mergeCell ref="F3:F4"/>
    <mergeCell ref="G3:J3"/>
    <mergeCell ref="K3:K4"/>
    <mergeCell ref="L3:O3"/>
    <mergeCell ref="P3:P4"/>
    <mergeCell ref="Q3:Q4"/>
    <mergeCell ref="B21:E21"/>
    <mergeCell ref="F21:F22"/>
    <mergeCell ref="G21:J21"/>
    <mergeCell ref="K21:K22"/>
    <mergeCell ref="L21:O21"/>
    <mergeCell ref="P21:P22"/>
    <mergeCell ref="A113:A114"/>
    <mergeCell ref="B113:M113"/>
    <mergeCell ref="A32:A33"/>
    <mergeCell ref="N48:N49"/>
    <mergeCell ref="B77:E77"/>
    <mergeCell ref="F77:I77"/>
    <mergeCell ref="J77:M77"/>
    <mergeCell ref="A77:A78"/>
    <mergeCell ref="J48:M48"/>
    <mergeCell ref="F48:I48"/>
    <mergeCell ref="A48:A49"/>
    <mergeCell ref="B48:E48"/>
  </mergeCells>
  <phoneticPr fontId="7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 Заявителя</vt:lpstr>
      <vt:lpstr>Итоговые расчеты модели</vt:lpstr>
      <vt:lpstr>'Данные Заявителя'!Налоги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Муниципальный Фонд</dc:creator>
  <cp:lastModifiedBy>Марина Носкова</cp:lastModifiedBy>
  <cp:lastPrinted>2020-01-14T07:44:07Z</cp:lastPrinted>
  <dcterms:created xsi:type="dcterms:W3CDTF">2015-06-05T18:19:34Z</dcterms:created>
  <dcterms:modified xsi:type="dcterms:W3CDTF">2024-11-30T18:14:06Z</dcterms:modified>
</cp:coreProperties>
</file>