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Красный" sheetId="1" r:id="rId1"/>
    <sheet name="Оранжевый" sheetId="2" r:id="rId2"/>
    <sheet name="Зеленый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4" i="1"/>
  <c r="N34" i="3"/>
  <c r="N33"/>
  <c r="N32"/>
  <c r="N31"/>
  <c r="N30"/>
  <c r="N29"/>
  <c r="N28"/>
  <c r="N27"/>
  <c r="N26"/>
  <c r="N25"/>
  <c r="N24"/>
  <c r="N23"/>
  <c r="N22"/>
  <c r="N21"/>
  <c r="N20"/>
  <c r="L20"/>
  <c r="N18"/>
  <c r="N16"/>
  <c r="L16"/>
  <c r="N15"/>
  <c r="N14"/>
  <c r="I14"/>
  <c r="H14"/>
  <c r="G14"/>
  <c r="N13"/>
  <c r="I13"/>
  <c r="H13"/>
  <c r="G13"/>
  <c r="N12"/>
  <c r="I12"/>
  <c r="H12"/>
  <c r="G12"/>
  <c r="N11"/>
  <c r="I11"/>
  <c r="H11"/>
  <c r="G11"/>
  <c r="O10"/>
  <c r="P10" s="1"/>
  <c r="N10"/>
  <c r="H10"/>
  <c r="I10" s="1"/>
  <c r="G10"/>
  <c r="N9"/>
  <c r="I9"/>
  <c r="H9"/>
  <c r="G9"/>
  <c r="N8"/>
  <c r="H8"/>
  <c r="I8" s="1"/>
  <c r="G8"/>
  <c r="N7"/>
  <c r="L7"/>
  <c r="H7"/>
  <c r="I7" s="1"/>
  <c r="G7"/>
  <c r="N6"/>
  <c r="I6"/>
  <c r="H6"/>
  <c r="G6"/>
  <c r="N5"/>
  <c r="H5"/>
  <c r="I5" s="1"/>
  <c r="G5"/>
  <c r="N4"/>
  <c r="I4"/>
  <c r="I15" s="1"/>
  <c r="H4"/>
  <c r="H15" s="1"/>
  <c r="G4"/>
  <c r="G15" s="1"/>
  <c r="N3"/>
  <c r="L3"/>
  <c r="N2"/>
  <c r="N35" s="1"/>
  <c r="L2"/>
  <c r="N26" i="2"/>
  <c r="N25"/>
  <c r="N24"/>
  <c r="N23"/>
  <c r="L21"/>
  <c r="N20"/>
  <c r="L20"/>
  <c r="N19"/>
  <c r="N18"/>
  <c r="N17"/>
  <c r="L17"/>
  <c r="N16"/>
  <c r="N15"/>
  <c r="N14"/>
  <c r="N13"/>
  <c r="N12"/>
  <c r="H11"/>
  <c r="I11" s="1"/>
  <c r="G11"/>
  <c r="H10"/>
  <c r="I10" s="1"/>
  <c r="G10"/>
  <c r="N9"/>
  <c r="L9"/>
  <c r="H9"/>
  <c r="I9" s="1"/>
  <c r="G9"/>
  <c r="M8"/>
  <c r="L8"/>
  <c r="I8"/>
  <c r="H8"/>
  <c r="H12" s="1"/>
  <c r="G8"/>
  <c r="N7"/>
  <c r="I7"/>
  <c r="H7"/>
  <c r="G7"/>
  <c r="L6"/>
  <c r="N6" s="1"/>
  <c r="I6"/>
  <c r="H6"/>
  <c r="G6"/>
  <c r="N5"/>
  <c r="I5"/>
  <c r="H5"/>
  <c r="G5"/>
  <c r="G12" s="1"/>
  <c r="N4"/>
  <c r="I4"/>
  <c r="H4"/>
  <c r="G4"/>
  <c r="N3"/>
  <c r="L3"/>
  <c r="N2"/>
  <c r="N63" i="1"/>
  <c r="N56"/>
  <c r="N51"/>
  <c r="N50"/>
  <c r="N49"/>
  <c r="N48"/>
  <c r="N47"/>
  <c r="N64" s="1"/>
  <c r="N46"/>
  <c r="N44"/>
  <c r="N43"/>
  <c r="H43"/>
  <c r="N42"/>
  <c r="I42"/>
  <c r="H42"/>
  <c r="G42"/>
  <c r="I41"/>
  <c r="H41"/>
  <c r="G41"/>
  <c r="N40"/>
  <c r="H40"/>
  <c r="I40" s="1"/>
  <c r="G40"/>
  <c r="N39"/>
  <c r="I39"/>
  <c r="H39"/>
  <c r="G39"/>
  <c r="N38"/>
  <c r="H38"/>
  <c r="I38" s="1"/>
  <c r="G38"/>
  <c r="N37"/>
  <c r="I37"/>
  <c r="H37"/>
  <c r="G37"/>
  <c r="N36"/>
  <c r="H36"/>
  <c r="I36" s="1"/>
  <c r="G36"/>
  <c r="N35"/>
  <c r="I35"/>
  <c r="H35"/>
  <c r="G35"/>
  <c r="N34"/>
  <c r="L34"/>
  <c r="I34"/>
  <c r="I43" s="1"/>
  <c r="H34"/>
  <c r="G34"/>
  <c r="G43" s="1"/>
  <c r="N33"/>
  <c r="N32"/>
  <c r="G20"/>
  <c r="F16"/>
  <c r="E16"/>
  <c r="G15"/>
  <c r="G14"/>
  <c r="G13"/>
  <c r="G12"/>
  <c r="G11"/>
  <c r="G10"/>
  <c r="G16" s="1"/>
  <c r="G9"/>
  <c r="G8"/>
  <c r="G7"/>
  <c r="G6"/>
  <c r="M5"/>
  <c r="G5"/>
  <c r="N28" i="2" l="1"/>
  <c r="N30" s="1"/>
  <c r="N65" i="1"/>
  <c r="I12" i="2"/>
  <c r="E26" i="1"/>
</calcChain>
</file>

<file path=xl/sharedStrings.xml><?xml version="1.0" encoding="utf-8"?>
<sst xmlns="http://schemas.openxmlformats.org/spreadsheetml/2006/main" count="307" uniqueCount="249">
  <si>
    <t>Расходы на заработную плату</t>
  </si>
  <si>
    <t>№</t>
  </si>
  <si>
    <t>Должность</t>
  </si>
  <si>
    <t>Кол-во штатных единиц</t>
  </si>
  <si>
    <t>Кол-во рабочих дней в неделю</t>
  </si>
  <si>
    <t>Тарифная ставка (оклад)</t>
  </si>
  <si>
    <t>Надбавки (Мотивация)</t>
  </si>
  <si>
    <t>Налоговые отчисления</t>
  </si>
  <si>
    <t xml:space="preserve">Средние доходы </t>
  </si>
  <si>
    <t>тир дня</t>
  </si>
  <si>
    <t>Директор</t>
  </si>
  <si>
    <t>месяц</t>
  </si>
  <si>
    <t>Бухгалтер</t>
  </si>
  <si>
    <t>Шеф-повар</t>
  </si>
  <si>
    <t>Кухонный работник(повар)</t>
  </si>
  <si>
    <t>Универсальный кухонный работник (повар)</t>
  </si>
  <si>
    <t>Администратор</t>
  </si>
  <si>
    <t>Официант</t>
  </si>
  <si>
    <t>чаевые</t>
  </si>
  <si>
    <t>Бармен- официант</t>
  </si>
  <si>
    <t>Бармен</t>
  </si>
  <si>
    <t>Водитель курьер (не включая транспортные расходы)</t>
  </si>
  <si>
    <t>Уборщица</t>
  </si>
  <si>
    <t>Итого</t>
  </si>
  <si>
    <t>Расходы на аренду помещения</t>
  </si>
  <si>
    <t>Средние доходы  за</t>
  </si>
  <si>
    <t>Расходы коммунальные (производственные)</t>
  </si>
  <si>
    <t>Транспортные расходы</t>
  </si>
  <si>
    <t>Расходы на световое оборудование</t>
  </si>
  <si>
    <t>Итого прогнорзируемая чистая прибыль</t>
  </si>
  <si>
    <t>Меню</t>
  </si>
  <si>
    <t>70 порций</t>
  </si>
  <si>
    <t>Расходы на продукты</t>
  </si>
  <si>
    <t>кг</t>
  </si>
  <si>
    <t>Цена за 1 кг</t>
  </si>
  <si>
    <t>Затраты на 1 порцию</t>
  </si>
  <si>
    <t>Меню 1 дня</t>
  </si>
  <si>
    <t>Название</t>
  </si>
  <si>
    <t>мл/гр</t>
  </si>
  <si>
    <t>Цена</t>
  </si>
  <si>
    <t>1 порция</t>
  </si>
  <si>
    <t>Затраты по максимуму</t>
  </si>
  <si>
    <t>Прибыль за 1 порцию</t>
  </si>
  <si>
    <t>Прибыль по максимуму</t>
  </si>
  <si>
    <t>Красный день</t>
  </si>
  <si>
    <t>помидоры</t>
  </si>
  <si>
    <t>6+4</t>
  </si>
  <si>
    <t>КРАСНЫЙ</t>
  </si>
  <si>
    <t>вяленые помидоры</t>
  </si>
  <si>
    <t>СМУЗИ:</t>
  </si>
  <si>
    <r>
      <rPr>
        <sz val="10"/>
        <color theme="1"/>
        <rFont val="Open Sans"/>
        <charset val="204"/>
      </rPr>
      <t xml:space="preserve">Банановый с клубникой </t>
    </r>
    <r>
      <rPr>
        <b/>
        <sz val="10"/>
        <color theme="1"/>
        <rFont val="Open Sans"/>
        <charset val="204"/>
      </rPr>
      <t>70 порций</t>
    </r>
  </si>
  <si>
    <t>250 мл молоко+80гр бан+50гр клубника</t>
  </si>
  <si>
    <t>32,5+33,33+25=90,83р</t>
  </si>
  <si>
    <t>перец болгарский</t>
  </si>
  <si>
    <r>
      <rPr>
        <sz val="10"/>
        <color theme="1"/>
        <rFont val="Open Sans"/>
        <charset val="204"/>
      </rPr>
      <t xml:space="preserve">Освежающий грейпфрут </t>
    </r>
    <r>
      <rPr>
        <b/>
        <sz val="10"/>
        <color theme="1"/>
        <rFont val="Open Sans"/>
        <charset val="204"/>
      </rPr>
      <t>70порций</t>
    </r>
  </si>
  <si>
    <t>газированная вода50гр+ вода50гр+сок грейпфрукта 50гр+сахар 25гр+грейпфрукт кусочки25гр(2шт)+ лимон 25гр (3шт.))+лед25гр (3кусочка)</t>
  </si>
  <si>
    <t>2+6+1,4+1,25+20+90,45+2,5+2,5=           42,6р.</t>
  </si>
  <si>
    <t>клубника</t>
  </si>
  <si>
    <t>3,5+2,4</t>
  </si>
  <si>
    <t>ГОРЯЧЕЕ:</t>
  </si>
  <si>
    <r>
      <rPr>
        <sz val="10"/>
        <color theme="1"/>
        <rFont val="Open Sans"/>
        <charset val="204"/>
      </rPr>
      <t xml:space="preserve">Тунец на гриле с томатами и перцем </t>
    </r>
    <r>
      <rPr>
        <b/>
        <sz val="10"/>
        <color theme="1"/>
        <rFont val="Open Sans"/>
        <charset val="204"/>
      </rPr>
      <t>70 порций</t>
    </r>
  </si>
  <si>
    <t>тунец по 300гр+1/2 помидора+1/4 перца+специи</t>
  </si>
  <si>
    <t>300р+8р+30р+2р= 340р</t>
  </si>
  <si>
    <t>Бананы, кг</t>
  </si>
  <si>
    <r>
      <rPr>
        <sz val="10"/>
        <color theme="1"/>
        <rFont val="Open Sans"/>
        <charset val="204"/>
      </rPr>
      <t xml:space="preserve">Томатный суп с перцем </t>
    </r>
    <r>
      <rPr>
        <b/>
        <sz val="10"/>
        <color theme="1"/>
        <rFont val="Open Sans"/>
        <charset val="204"/>
      </rPr>
      <t>20 порций</t>
    </r>
  </si>
  <si>
    <t>Бульон 120гр+томат 150гр+перец 80гр+специи 0,75гр+ 2 булочки</t>
  </si>
  <si>
    <t>11,9+20+35+5+3,25+0,2+17,95+17*2=127,35</t>
  </si>
  <si>
    <t>грейпфрут, шт</t>
  </si>
  <si>
    <t>ГАРНИРЫ:</t>
  </si>
  <si>
    <r>
      <rPr>
        <sz val="10"/>
        <color theme="1"/>
        <rFont val="Open Sans"/>
        <charset val="204"/>
      </rPr>
      <t xml:space="preserve">Гречневая лапша с перцем и помидорами </t>
    </r>
    <r>
      <rPr>
        <b/>
        <sz val="10"/>
        <color theme="1"/>
        <rFont val="Open Sans"/>
        <charset val="204"/>
      </rPr>
      <t>100порций</t>
    </r>
  </si>
  <si>
    <t>Лапш100гр+помид1 шт10гр+перец10гр</t>
  </si>
  <si>
    <t>48,75+18,2+0,39= 67,34</t>
  </si>
  <si>
    <t>лосось слабо соленная нарезанная 12шт</t>
  </si>
  <si>
    <t>ЗАКУСКИ И САЛАТЫ</t>
  </si>
  <si>
    <r>
      <rPr>
        <sz val="10"/>
        <color theme="1"/>
        <rFont val="Open Sans"/>
        <charset val="204"/>
      </rPr>
      <t xml:space="preserve">Салат лобио из красной фасоли </t>
    </r>
    <r>
      <rPr>
        <b/>
        <sz val="10"/>
        <color theme="1"/>
        <rFont val="Open Sans"/>
        <charset val="204"/>
      </rPr>
      <t>40 порций</t>
    </r>
  </si>
  <si>
    <t>фасоль 200гр+50гр заправка</t>
  </si>
  <si>
    <t>44,8+43,75+6+2= 96,25р</t>
  </si>
  <si>
    <t>тунец филе по 300гр</t>
  </si>
  <si>
    <r>
      <rPr>
        <sz val="10"/>
        <color theme="1"/>
        <rFont val="Open Sans"/>
        <charset val="204"/>
      </rPr>
      <t xml:space="preserve">Тост с лососем, сладким перцем и вялеными томатами </t>
    </r>
    <r>
      <rPr>
        <b/>
        <sz val="10"/>
        <color theme="1"/>
        <rFont val="Open Sans"/>
        <charset val="204"/>
      </rPr>
      <t>36 порций</t>
    </r>
  </si>
  <si>
    <t>тост33гр+ лосось 8,34*2+помидор вяленый 5,6гр*2+сладкий перец50гр+творожный сыр 20гр</t>
  </si>
  <si>
    <t>3,34+20,8+6,6+9,72+11,5= 51,96</t>
  </si>
  <si>
    <t>консервирована  красная фасоль 400мл в банке</t>
  </si>
  <si>
    <t>Банка 20 шт</t>
  </si>
  <si>
    <t>Десерты</t>
  </si>
  <si>
    <r>
      <rPr>
        <sz val="10"/>
        <color theme="1"/>
        <rFont val="Open Sans"/>
        <charset val="204"/>
      </rPr>
      <t xml:space="preserve">Клубничный мусс с цветками настурция </t>
    </r>
    <r>
      <rPr>
        <b/>
        <sz val="10"/>
        <color theme="1"/>
        <rFont val="Open Sans"/>
        <charset val="204"/>
      </rPr>
      <t>30 порция</t>
    </r>
  </si>
  <si>
    <t>клубника 80гр+сливки50мл+сахарная пудра 30гр+вода 20мл+желатин 3 гр+цветок 2 гр</t>
  </si>
  <si>
    <t>40р+31+4,94+0,55+15+20=  111,49</t>
  </si>
  <si>
    <t>цветы настурция</t>
  </si>
  <si>
    <t>30шт</t>
  </si>
  <si>
    <t>Заправка</t>
  </si>
  <si>
    <r>
      <rPr>
        <sz val="10"/>
        <color theme="1"/>
        <rFont val="Open Sans"/>
        <charset val="204"/>
      </rPr>
      <t xml:space="preserve">Соус томатный с вялеными помидорами </t>
    </r>
    <r>
      <rPr>
        <b/>
        <sz val="10"/>
        <color theme="1"/>
        <rFont val="Open Sans"/>
        <charset val="204"/>
      </rPr>
      <t>100шт</t>
    </r>
  </si>
  <si>
    <t>40гр</t>
  </si>
  <si>
    <t>Соус томатный с вялеными помидорами 40 гр</t>
  </si>
  <si>
    <t>Молоко, литр</t>
  </si>
  <si>
    <t>газированная вода</t>
  </si>
  <si>
    <t>сок грейпфрута, 1литр</t>
  </si>
  <si>
    <t>вода</t>
  </si>
  <si>
    <t>сахар, кг</t>
  </si>
  <si>
    <t>лимон</t>
  </si>
  <si>
    <t>лед</t>
  </si>
  <si>
    <t>дрова для гриля</t>
  </si>
  <si>
    <t>10кг</t>
  </si>
  <si>
    <t>Булочки для супа</t>
  </si>
  <si>
    <t>40шт (по 2 на порции)</t>
  </si>
  <si>
    <t>помидоры чери для лапши 500гр =50шт</t>
  </si>
  <si>
    <t>1 помидор  на порцию</t>
  </si>
  <si>
    <t>Лапша гречневая на 100 порций</t>
  </si>
  <si>
    <t>Упаковка 0,4кг</t>
  </si>
  <si>
    <t>лук репчатый  красный</t>
  </si>
  <si>
    <t>лук репчатый желты</t>
  </si>
  <si>
    <t>5шт 1 кг</t>
  </si>
  <si>
    <t>масло растительное</t>
  </si>
  <si>
    <t>150гр</t>
  </si>
  <si>
    <t>хлеб для тоста</t>
  </si>
  <si>
    <t>300гр 9 кусочков</t>
  </si>
  <si>
    <t>творожный сыр</t>
  </si>
  <si>
    <t>сахарная пудра 600гр</t>
  </si>
  <si>
    <t>желатин  90гр</t>
  </si>
  <si>
    <t>Специи</t>
  </si>
  <si>
    <t>200гр</t>
  </si>
  <si>
    <t>200р</t>
  </si>
  <si>
    <t>Картошка</t>
  </si>
  <si>
    <t>морковка</t>
  </si>
  <si>
    <t>Соус томатный с вялеными помидорами40гр*100</t>
  </si>
  <si>
    <t>190гр</t>
  </si>
  <si>
    <t>кг, упаковка</t>
  </si>
  <si>
    <t>Оранжевый день</t>
  </si>
  <si>
    <t xml:space="preserve">сок апельсина </t>
  </si>
  <si>
    <t>Оранжевый</t>
  </si>
  <si>
    <t>сок тыквенно-яблочный</t>
  </si>
  <si>
    <t>Из тыквы, кураги и апельсина (70 порций)</t>
  </si>
  <si>
    <t>сок тыквенно-яблочный 120мл+сок апельсиновый 100мл+курага 30гр</t>
  </si>
  <si>
    <t>9,6+12,8+14,28=36,68</t>
  </si>
  <si>
    <t>Курага</t>
  </si>
  <si>
    <t>из персика и яблока (70 порций)</t>
  </si>
  <si>
    <t>сок персика с мяк200мл+сок яблочный 50 мл+ 1/4 персика (70 порций)</t>
  </si>
  <si>
    <t>27,6+6+6,43=40,03</t>
  </si>
  <si>
    <t>сок  персика с мякотью</t>
  </si>
  <si>
    <t>из яблок и моркови (30 порций)</t>
  </si>
  <si>
    <t>сок яблочный 200мл+сок морк50мл</t>
  </si>
  <si>
    <t>24+8,6=32,6</t>
  </si>
  <si>
    <t>Сок яблочный с мякотью</t>
  </si>
  <si>
    <t>3,5 смузи с ябл</t>
  </si>
  <si>
    <t>6 смузи из ябл</t>
  </si>
  <si>
    <r>
      <rPr>
        <sz val="10"/>
        <color theme="1"/>
        <rFont val="Open Sans"/>
        <charset val="204"/>
      </rPr>
      <t xml:space="preserve">Крем-суп из сладких перцев </t>
    </r>
    <r>
      <rPr>
        <b/>
        <sz val="10"/>
        <color theme="1"/>
        <rFont val="Open Sans"/>
        <charset val="204"/>
      </rPr>
      <t>20 порций</t>
    </r>
  </si>
  <si>
    <t>Бульон 120гр+перец 230гр+специи 0,75гр+2 шт булочки</t>
  </si>
  <si>
    <t>11,9+20+5+80,5 +2+17*2=153,4</t>
  </si>
  <si>
    <t xml:space="preserve">Персик </t>
  </si>
  <si>
    <t>4,375кг персиков</t>
  </si>
  <si>
    <t>Тыквенный салат с морковью, перцем и грушей (80 порций)</t>
  </si>
  <si>
    <t>тыква70гр+морк70гр+перец50гр+груша 50гр</t>
  </si>
  <si>
    <t>1,75+2,1+17,5+13=34,35</t>
  </si>
  <si>
    <t>Сок морковный</t>
  </si>
  <si>
    <t>Творожный хачапури с творогом и йогуртом (120 порций)</t>
  </si>
  <si>
    <t>творог 100гр+йогурт50гр+ сулугуни 50гр+масло сливочное 10гр+мука 130гр+соль5+перец5</t>
  </si>
  <si>
    <t>25+7,5+18,5+3+7,8+1=62,8</t>
  </si>
  <si>
    <t>Перец</t>
  </si>
  <si>
    <t>Тыквенные сырники с медом из одуванчиков (50порций)</t>
  </si>
  <si>
    <t>150гр*2</t>
  </si>
  <si>
    <t>Творог100+тыква100+ сок тыквы12гр+ яйца 0,75гр+мука80гр +об+одуванчики 19,25гр+мед</t>
  </si>
  <si>
    <t>25+2,5+1,536+0,06+4,8+20+10=63,9</t>
  </si>
  <si>
    <t>картошка</t>
  </si>
  <si>
    <t>Яблочный пирог из рисовой муки 10 порций</t>
  </si>
  <si>
    <t>ябл50+йогурт44+мука рис 50+яйца1,5+ сахар54,5</t>
  </si>
  <si>
    <t>3+6,6+15+2,5=27,1</t>
  </si>
  <si>
    <t>1шт 1 кг</t>
  </si>
  <si>
    <t>5,6кг</t>
  </si>
  <si>
    <t>груша</t>
  </si>
  <si>
    <t>4кг</t>
  </si>
  <si>
    <t>йогур</t>
  </si>
  <si>
    <t>творог</t>
  </si>
  <si>
    <t>сулугуни</t>
  </si>
  <si>
    <t>мука</t>
  </si>
  <si>
    <t>мука рисовая</t>
  </si>
  <si>
    <t>масло сливочное</t>
  </si>
  <si>
    <t>тыква</t>
  </si>
  <si>
    <t>Яйца 18 шт</t>
  </si>
  <si>
    <t>мед</t>
  </si>
  <si>
    <t>одуванчики</t>
  </si>
  <si>
    <t>яблоки</t>
  </si>
  <si>
    <t xml:space="preserve">сахар </t>
  </si>
  <si>
    <t>Зеленый</t>
  </si>
  <si>
    <t>авокадо</t>
  </si>
  <si>
    <t>огурец</t>
  </si>
  <si>
    <t>Нежный авокадо (50 порций)</t>
  </si>
  <si>
    <t>Авокадо145гр+огурец100гр+йогурт50+ореховая крошка5гр</t>
  </si>
  <si>
    <t>40+5+4+4=53</t>
  </si>
  <si>
    <t>йогурт</t>
  </si>
  <si>
    <t>Мятный шпинат (50 порций)</t>
  </si>
  <si>
    <t>Шпинат100+мята 10гр+клубника 10гр+банан 1/2+вода 55мл</t>
  </si>
  <si>
    <t>17,9+3+7+31,25+1,52=60,68</t>
  </si>
  <si>
    <t xml:space="preserve">орехи </t>
  </si>
  <si>
    <t>Сельдереевый смузи с яблоком (100 порций)</t>
  </si>
  <si>
    <t>яблоки 110гр+сельдерей 40гр+вода 150мл</t>
  </si>
  <si>
    <t>6,6+7,6+4,17=18,37</t>
  </si>
  <si>
    <t>Миндаль</t>
  </si>
  <si>
    <t>Суп из кабачков  и баклажанов (50 порций)</t>
  </si>
  <si>
    <t>вода 180+лук репч 40+ кабач 40+бакл28гр+перец остр0,4+стебель сельд0,8+петр+укроп+ специи 0,8</t>
  </si>
  <si>
    <t>5+1,2+4+14+4,4+0,07+0,1521+3=31,822</t>
  </si>
  <si>
    <t>шпинат</t>
  </si>
  <si>
    <t>Паста из кабачков (70 порций)</t>
  </si>
  <si>
    <t>кабачок300+лимон сок3+оливковое масло 20+укроп+специи 17+сыр твердый50</t>
  </si>
  <si>
    <t>30+4,27+3,54+2,55+35=75,37</t>
  </si>
  <si>
    <t>мята</t>
  </si>
  <si>
    <t>Шпинат свежий (20 порций )</t>
  </si>
  <si>
    <t>шпинат50</t>
  </si>
  <si>
    <t>бананы</t>
  </si>
  <si>
    <t>Зеленый салат с куриным филе, зеленой фасолью, огурцами и ореховым соусом (50 порций)</t>
  </si>
  <si>
    <t>Курица80+зеленый фасоль80+огруец100+зелень 20</t>
  </si>
  <si>
    <t>27,2+14,4+5+3=49,6</t>
  </si>
  <si>
    <t>Вода 18 л</t>
  </si>
  <si>
    <t>Салат с кальмарами и пекинской капустой (70 порций)</t>
  </si>
  <si>
    <t>Кальм80+капуста100+перец сладк зел40+горош зел50+огурец зелен50+яйцо1шт+сметана-соус30+ специи</t>
  </si>
  <si>
    <t>22,4+2+14,14+2,5+10+6+1=58,04</t>
  </si>
  <si>
    <t>Брускетты  с авокадо и зеленым перцем и креветкой (100 порций)</t>
  </si>
  <si>
    <t xml:space="preserve"> хлеб20гр+авокадо80+зеленый перец30+зелень5+креветки10+ масло 5</t>
  </si>
  <si>
    <t>1,5+16+0,75+6+12+4,95=41,2</t>
  </si>
  <si>
    <t>сельд</t>
  </si>
  <si>
    <t>Мороженое из авокадо и миндаля (400 порций)</t>
  </si>
  <si>
    <t>50/1</t>
  </si>
  <si>
    <t>авокадо12,5+миндаль2,5+сливки 30+масло сливочн5</t>
  </si>
  <si>
    <t>2,5+1,5+10,5+1,5=16</t>
  </si>
  <si>
    <t>лук репч.</t>
  </si>
  <si>
    <t>Рулетики из творога  с  зеленью  (100 порций)</t>
  </si>
  <si>
    <t>творог80+зелень5+лаваш80+растит масло 10</t>
  </si>
  <si>
    <t>20+0,75+4,8+3=28,55</t>
  </si>
  <si>
    <t>кабачки</t>
  </si>
  <si>
    <t>баклаж</t>
  </si>
  <si>
    <t>Зеленый болгарск перец</t>
  </si>
  <si>
    <t>перец острый</t>
  </si>
  <si>
    <t>3 шт</t>
  </si>
  <si>
    <t>Петрушка+укроп+специи</t>
  </si>
  <si>
    <t>лимонный сок</t>
  </si>
  <si>
    <t>масло оливковое</t>
  </si>
  <si>
    <t>сыр твердый</t>
  </si>
  <si>
    <t>Курицы грудка</t>
  </si>
  <si>
    <t>Зеленая фасоль</t>
  </si>
  <si>
    <t>Кальмар свежий</t>
  </si>
  <si>
    <t>Капуста пекинска</t>
  </si>
  <si>
    <t>Зеленый горошек</t>
  </si>
  <si>
    <t>Батон нарезной</t>
  </si>
  <si>
    <t>креветки</t>
  </si>
  <si>
    <t>Сливки</t>
  </si>
  <si>
    <t>Сметана соус</t>
  </si>
  <si>
    <t>яйца</t>
  </si>
  <si>
    <t>Рекламная кампания</t>
  </si>
  <si>
    <t>три дня</t>
  </si>
  <si>
    <t>Итого 
расходов</t>
  </si>
  <si>
    <t>Закупка инвентаря</t>
  </si>
</sst>
</file>

<file path=xl/styles.xml><?xml version="1.0" encoding="utf-8"?>
<styleSheet xmlns="http://schemas.openxmlformats.org/spreadsheetml/2006/main">
  <numFmts count="2">
    <numFmt numFmtId="164" formatCode="_-* #,##0.00&quot; ₽&quot;_-;\-* #,##0.00&quot; ₽&quot;_-;_-* \-??&quot; ₽&quot;_-;_-@_-"/>
    <numFmt numFmtId="165" formatCode="#,##0.00\ [$₽-419];[Red]\-#,##0.00\ [$₽-419]"/>
  </numFmts>
  <fonts count="19">
    <font>
      <sz val="10"/>
      <color theme="1"/>
      <name val="Open Sans"/>
      <charset val="204"/>
    </font>
    <font>
      <b/>
      <sz val="10"/>
      <color rgb="FFFFFFFF"/>
      <name val="Open Sans"/>
      <charset val="204"/>
    </font>
    <font>
      <b/>
      <sz val="10"/>
      <color theme="1"/>
      <name val="Open Sans"/>
      <charset val="204"/>
    </font>
    <font>
      <sz val="10"/>
      <color rgb="FFCC0000"/>
      <name val="Open Sans"/>
      <charset val="204"/>
    </font>
    <font>
      <i/>
      <sz val="10"/>
      <color rgb="FF808080"/>
      <name val="Open Sans"/>
      <charset val="204"/>
    </font>
    <font>
      <sz val="10"/>
      <color rgb="FF006600"/>
      <name val="Open Sans"/>
      <charset val="204"/>
    </font>
    <font>
      <b/>
      <sz val="18"/>
      <color rgb="FF000000"/>
      <name val="Open Sans"/>
      <charset val="204"/>
    </font>
    <font>
      <b/>
      <sz val="24"/>
      <color rgb="FF000000"/>
      <name val="Open Sans"/>
      <charset val="204"/>
    </font>
    <font>
      <b/>
      <sz val="12"/>
      <color rgb="FF000000"/>
      <name val="Open Sans"/>
      <charset val="204"/>
    </font>
    <font>
      <u/>
      <sz val="10"/>
      <color rgb="FF0000EE"/>
      <name val="Open Sans"/>
      <charset val="204"/>
    </font>
    <font>
      <sz val="10"/>
      <color rgb="FF996600"/>
      <name val="Open Sans"/>
      <charset val="204"/>
    </font>
    <font>
      <sz val="10"/>
      <color rgb="FF333333"/>
      <name val="Open Sans"/>
      <charset val="204"/>
    </font>
    <font>
      <b/>
      <i/>
      <u/>
      <sz val="10"/>
      <color theme="1"/>
      <name val="Open Sans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Open Sans"/>
      <charset val="1"/>
    </font>
    <font>
      <sz val="10"/>
      <color theme="1"/>
      <name val="Open Sans"/>
      <charset val="204"/>
    </font>
    <font>
      <sz val="16"/>
      <color theme="1"/>
      <name val="Open Sans"/>
      <charset val="204"/>
    </font>
    <font>
      <sz val="16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D7D7"/>
      </patternFill>
    </fill>
    <fill>
      <patternFill patternType="solid">
        <fgColor rgb="FFFFCCCC"/>
        <bgColor rgb="FFFFD7D7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0000"/>
        <bgColor rgb="FFCC0000"/>
      </patternFill>
    </fill>
    <fill>
      <patternFill patternType="solid">
        <fgColor rgb="FFFF6D6D"/>
        <bgColor rgb="FFFF6600"/>
      </patternFill>
    </fill>
    <fill>
      <patternFill patternType="solid">
        <fgColor rgb="FFFFD7D7"/>
        <bgColor rgb="FFFFCCCC"/>
      </patternFill>
    </fill>
    <fill>
      <patternFill patternType="solid">
        <fgColor rgb="FFFFCC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C00"/>
      </patternFill>
    </fill>
    <fill>
      <patternFill patternType="solid">
        <fgColor rgb="FFBBE33D"/>
        <bgColor rgb="FFD4EA6B"/>
      </patternFill>
    </fill>
    <fill>
      <patternFill patternType="solid">
        <fgColor rgb="FFD4EA6B"/>
        <bgColor rgb="FFBBE33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164" fontId="13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16" fillId="0" borderId="0" applyBorder="0" applyProtection="0"/>
    <xf numFmtId="0" fontId="1" fillId="6" borderId="0" applyBorder="0" applyProtection="0"/>
    <xf numFmtId="0" fontId="4" fillId="0" borderId="0" applyBorder="0" applyProtection="0"/>
    <xf numFmtId="0" fontId="5" fillId="7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3" fillId="0" borderId="0" applyBorder="0" applyProtection="0"/>
  </cellStyleXfs>
  <cellXfs count="43">
    <xf numFmtId="0" fontId="0" fillId="0" borderId="0" xfId="0"/>
    <xf numFmtId="0" fontId="2" fillId="0" borderId="0" xfId="7" applyFont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7" applyFont="1" applyBorder="1" applyAlignment="1" applyProtection="1"/>
    <xf numFmtId="0" fontId="2" fillId="0" borderId="0" xfId="7" applyFont="1" applyBorder="1" applyAlignment="1" applyProtection="1"/>
    <xf numFmtId="0" fontId="0" fillId="0" borderId="2" xfId="7" applyFont="1" applyBorder="1" applyAlignment="1" applyProtection="1">
      <alignment horizontal="center" vertical="center"/>
    </xf>
    <xf numFmtId="0" fontId="0" fillId="0" borderId="2" xfId="7" applyFont="1" applyBorder="1" applyAlignment="1" applyProtection="1">
      <alignment horizontal="center" vertical="center" wrapText="1"/>
    </xf>
    <xf numFmtId="164" fontId="14" fillId="0" borderId="0" xfId="1" applyFont="1" applyBorder="1" applyAlignment="1" applyProtection="1"/>
    <xf numFmtId="0" fontId="0" fillId="0" borderId="2" xfId="7" applyFont="1" applyBorder="1" applyAlignment="1" applyProtection="1"/>
    <xf numFmtId="164" fontId="13" fillId="0" borderId="2" xfId="1" applyFont="1" applyBorder="1" applyAlignment="1" applyProtection="1"/>
    <xf numFmtId="0" fontId="0" fillId="0" borderId="2" xfId="7" applyFont="1" applyBorder="1" applyAlignment="1" applyProtection="1">
      <alignment wrapText="1"/>
    </xf>
    <xf numFmtId="164" fontId="0" fillId="0" borderId="2" xfId="7" applyNumberFormat="1" applyFont="1" applyBorder="1" applyAlignment="1" applyProtection="1"/>
    <xf numFmtId="0" fontId="2" fillId="0" borderId="2" xfId="7" applyFont="1" applyBorder="1" applyAlignment="1" applyProtection="1"/>
    <xf numFmtId="164" fontId="2" fillId="0" borderId="2" xfId="7" applyNumberFormat="1" applyFont="1" applyBorder="1" applyAlignment="1" applyProtection="1"/>
    <xf numFmtId="164" fontId="13" fillId="0" borderId="0" xfId="1" applyFont="1" applyBorder="1" applyAlignment="1" applyProtection="1"/>
    <xf numFmtId="0" fontId="2" fillId="0" borderId="0" xfId="7" applyFont="1" applyBorder="1" applyAlignment="1" applyProtection="1">
      <alignment wrapText="1"/>
    </xf>
    <xf numFmtId="0" fontId="0" fillId="0" borderId="0" xfId="7" applyFont="1" applyBorder="1" applyAlignment="1" applyProtection="1">
      <alignment wrapText="1"/>
    </xf>
    <xf numFmtId="164" fontId="2" fillId="0" borderId="0" xfId="7" applyNumberFormat="1" applyFont="1" applyBorder="1" applyAlignment="1" applyProtection="1"/>
    <xf numFmtId="0" fontId="2" fillId="0" borderId="2" xfId="7" applyFont="1" applyBorder="1" applyAlignment="1" applyProtection="1">
      <alignment wrapText="1"/>
    </xf>
    <xf numFmtId="0" fontId="2" fillId="0" borderId="2" xfId="7" applyFont="1" applyBorder="1" applyAlignment="1" applyProtection="1">
      <alignment horizontal="center" vertical="center"/>
    </xf>
    <xf numFmtId="0" fontId="2" fillId="0" borderId="2" xfId="7" applyFont="1" applyBorder="1" applyAlignment="1" applyProtection="1">
      <alignment horizontal="center" vertical="center" wrapText="1"/>
    </xf>
    <xf numFmtId="0" fontId="0" fillId="9" borderId="2" xfId="7" applyFont="1" applyFill="1" applyBorder="1" applyAlignment="1" applyProtection="1">
      <alignment wrapText="1"/>
    </xf>
    <xf numFmtId="0" fontId="0" fillId="10" borderId="2" xfId="7" applyFont="1" applyFill="1" applyBorder="1" applyAlignment="1" applyProtection="1"/>
    <xf numFmtId="0" fontId="0" fillId="11" borderId="2" xfId="7" applyFont="1" applyFill="1" applyBorder="1" applyAlignment="1" applyProtection="1"/>
    <xf numFmtId="0" fontId="0" fillId="11" borderId="2" xfId="7" applyFont="1" applyFill="1" applyBorder="1" applyAlignment="1" applyProtection="1">
      <alignment wrapText="1"/>
    </xf>
    <xf numFmtId="0" fontId="2" fillId="0" borderId="2" xfId="7" applyFont="1" applyBorder="1" applyAlignment="1" applyProtection="1">
      <alignment horizontal="center" wrapText="1"/>
    </xf>
    <xf numFmtId="165" fontId="0" fillId="0" borderId="0" xfId="7" applyNumberFormat="1" applyFont="1" applyBorder="1" applyAlignment="1" applyProtection="1">
      <alignment horizontal="center" vertical="center"/>
    </xf>
    <xf numFmtId="165" fontId="0" fillId="0" borderId="2" xfId="7" applyNumberFormat="1" applyFont="1" applyBorder="1" applyAlignment="1" applyProtection="1">
      <alignment horizontal="center" vertical="center"/>
    </xf>
    <xf numFmtId="165" fontId="2" fillId="0" borderId="2" xfId="7" applyNumberFormat="1" applyFont="1" applyBorder="1" applyAlignment="1" applyProtection="1"/>
    <xf numFmtId="165" fontId="0" fillId="0" borderId="2" xfId="7" applyNumberFormat="1" applyFont="1" applyBorder="1" applyAlignment="1" applyProtection="1"/>
    <xf numFmtId="165" fontId="0" fillId="0" borderId="0" xfId="7" applyNumberFormat="1" applyFont="1" applyBorder="1" applyAlignment="1" applyProtection="1"/>
    <xf numFmtId="0" fontId="0" fillId="12" borderId="2" xfId="7" applyFont="1" applyFill="1" applyBorder="1" applyAlignment="1" applyProtection="1">
      <alignment wrapText="1"/>
    </xf>
    <xf numFmtId="0" fontId="0" fillId="13" borderId="2" xfId="7" applyFont="1" applyFill="1" applyBorder="1" applyAlignment="1" applyProtection="1">
      <alignment wrapText="1"/>
    </xf>
    <xf numFmtId="0" fontId="0" fillId="14" borderId="2" xfId="7" applyFont="1" applyFill="1" applyBorder="1" applyAlignment="1" applyProtection="1"/>
    <xf numFmtId="0" fontId="0" fillId="12" borderId="2" xfId="7" applyFont="1" applyFill="1" applyBorder="1" applyAlignment="1" applyProtection="1"/>
    <xf numFmtId="0" fontId="0" fillId="13" borderId="2" xfId="7" applyFont="1" applyFill="1" applyBorder="1" applyAlignment="1" applyProtection="1"/>
    <xf numFmtId="0" fontId="0" fillId="15" borderId="2" xfId="7" applyFont="1" applyFill="1" applyBorder="1" applyAlignment="1" applyProtection="1">
      <alignment wrapText="1"/>
    </xf>
    <xf numFmtId="0" fontId="0" fillId="15" borderId="2" xfId="7" applyFont="1" applyFill="1" applyBorder="1" applyAlignment="1" applyProtection="1"/>
    <xf numFmtId="0" fontId="0" fillId="16" borderId="2" xfId="7" applyFont="1" applyFill="1" applyBorder="1" applyAlignment="1" applyProtection="1"/>
    <xf numFmtId="0" fontId="0" fillId="16" borderId="2" xfId="7" applyFont="1" applyFill="1" applyBorder="1" applyAlignment="1" applyProtection="1">
      <alignment wrapText="1"/>
    </xf>
    <xf numFmtId="0" fontId="15" fillId="0" borderId="2" xfId="7" applyFont="1" applyBorder="1" applyAlignment="1" applyProtection="1">
      <alignment wrapText="1"/>
    </xf>
    <xf numFmtId="0" fontId="17" fillId="0" borderId="0" xfId="7" applyFont="1" applyBorder="1" applyAlignment="1" applyProtection="1">
      <alignment wrapText="1"/>
    </xf>
    <xf numFmtId="164" fontId="18" fillId="0" borderId="0" xfId="1" applyFont="1" applyBorder="1" applyAlignment="1" applyProtection="1"/>
  </cellXfs>
  <cellStyles count="21">
    <cellStyle name="Accent 1 5" xfId="2"/>
    <cellStyle name="Accent 2 6" xfId="3"/>
    <cellStyle name="Accent 3 7" xfId="4"/>
    <cellStyle name="Accent 4" xfId="5"/>
    <cellStyle name="Bad 8" xfId="6"/>
    <cellStyle name="Default 9" xfId="7"/>
    <cellStyle name="Error 10" xfId="8"/>
    <cellStyle name="Footnote 11" xfId="9"/>
    <cellStyle name="Good 12" xfId="10"/>
    <cellStyle name="Heading 1 14" xfId="11"/>
    <cellStyle name="Heading 13" xfId="12"/>
    <cellStyle name="Heading 2 15" xfId="13"/>
    <cellStyle name="Hyperlink 16" xfId="14"/>
    <cellStyle name="Neutral 17" xfId="15"/>
    <cellStyle name="Note 18" xfId="16"/>
    <cellStyle name="Result 19" xfId="17"/>
    <cellStyle name="Status 20" xfId="18"/>
    <cellStyle name="Text 21" xfId="19"/>
    <cellStyle name="Warning 22" xfId="20"/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FFD7D7"/>
      <rgbColor rgb="FF808080"/>
      <rgbColor rgb="FF9999FF"/>
      <rgbColor rgb="FF993366"/>
      <rgbColor rgb="FFFFFFCC"/>
      <rgbColor rgb="FFCCFFFF"/>
      <rgbColor rgb="FF660066"/>
      <rgbColor rgb="FFFF6D6D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CC"/>
      <rgbColor rgb="FF3366FF"/>
      <rgbColor rgb="FF33CCCC"/>
      <rgbColor rgb="FFBBE33D"/>
      <rgbColor rgb="FFFFCC00"/>
      <rgbColor rgb="FFFFC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56"/>
  <sheetViews>
    <sheetView tabSelected="1" zoomScale="90" zoomScaleNormal="90" workbookViewId="0">
      <selection activeCell="G16" sqref="G16"/>
    </sheetView>
  </sheetViews>
  <sheetFormatPr defaultColWidth="8.6640625" defaultRowHeight="13.2"/>
  <cols>
    <col min="1" max="1" width="16.21875" style="2" customWidth="1"/>
    <col min="2" max="2" width="30.21875" style="2" customWidth="1"/>
    <col min="3" max="3" width="17.44140625" style="2" customWidth="1"/>
    <col min="4" max="4" width="8.5546875" style="2" customWidth="1"/>
    <col min="5" max="5" width="32" style="2" customWidth="1"/>
    <col min="6" max="6" width="16.44140625" style="2" customWidth="1"/>
    <col min="7" max="7" width="16" style="2" customWidth="1"/>
    <col min="8" max="8" width="12" style="2" customWidth="1"/>
    <col min="9" max="10" width="15.109375" style="2" customWidth="1"/>
    <col min="11" max="11" width="22.6640625" style="2" customWidth="1"/>
    <col min="12" max="12" width="11.5546875" style="2" customWidth="1"/>
    <col min="13" max="13" width="23.88671875" style="2" customWidth="1"/>
    <col min="14" max="16" width="11.5546875" style="2" customWidth="1"/>
  </cols>
  <sheetData>
    <row r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52.8">
      <c r="A4" s="5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/>
      <c r="I4" s="6"/>
      <c r="J4" s="3"/>
      <c r="K4" s="4" t="s">
        <v>8</v>
      </c>
      <c r="L4" s="3" t="s">
        <v>9</v>
      </c>
      <c r="M4" s="7">
        <v>146113.15</v>
      </c>
      <c r="N4" s="3"/>
      <c r="O4" s="3"/>
      <c r="P4" s="3"/>
    </row>
    <row r="5" spans="1:16">
      <c r="A5" s="8">
        <v>1</v>
      </c>
      <c r="B5" s="8" t="s">
        <v>10</v>
      </c>
      <c r="C5" s="8">
        <v>1</v>
      </c>
      <c r="D5" s="8">
        <v>6</v>
      </c>
      <c r="E5" s="9">
        <v>90000</v>
      </c>
      <c r="F5" s="9">
        <v>30000</v>
      </c>
      <c r="G5" s="8">
        <f t="shared" ref="G5:G10" si="0">(E5+F5)*0.3</f>
        <v>36000</v>
      </c>
      <c r="H5" s="8"/>
      <c r="I5" s="8"/>
      <c r="J5" s="3"/>
      <c r="K5" s="3"/>
      <c r="L5" s="3" t="s">
        <v>11</v>
      </c>
      <c r="M5" s="7">
        <f>M4*10</f>
        <v>1461131.5</v>
      </c>
      <c r="N5" s="3"/>
      <c r="O5" s="3"/>
      <c r="P5" s="3"/>
    </row>
    <row r="6" spans="1:16">
      <c r="A6" s="8">
        <v>2</v>
      </c>
      <c r="B6" s="8" t="s">
        <v>12</v>
      </c>
      <c r="C6" s="8">
        <v>1</v>
      </c>
      <c r="D6" s="8">
        <v>6</v>
      </c>
      <c r="E6" s="9">
        <v>50000</v>
      </c>
      <c r="F6" s="9">
        <v>10000</v>
      </c>
      <c r="G6" s="8">
        <f t="shared" si="0"/>
        <v>18000</v>
      </c>
      <c r="H6" s="8"/>
      <c r="I6" s="8"/>
      <c r="J6" s="3"/>
      <c r="K6" s="3"/>
      <c r="L6" s="3"/>
      <c r="M6" s="3"/>
      <c r="N6" s="3"/>
      <c r="O6" s="3"/>
      <c r="P6" s="3"/>
    </row>
    <row r="7" spans="1:16">
      <c r="A7" s="8">
        <v>3</v>
      </c>
      <c r="B7" s="8" t="s">
        <v>13</v>
      </c>
      <c r="C7" s="8">
        <v>1</v>
      </c>
      <c r="D7" s="8">
        <v>6</v>
      </c>
      <c r="E7" s="9">
        <v>70000</v>
      </c>
      <c r="F7" s="9">
        <v>10000</v>
      </c>
      <c r="G7" s="8">
        <f t="shared" si="0"/>
        <v>24000</v>
      </c>
      <c r="H7" s="8"/>
      <c r="I7" s="8"/>
      <c r="J7" s="3"/>
      <c r="K7" s="3"/>
      <c r="L7" s="3"/>
      <c r="M7" s="3"/>
      <c r="N7" s="3"/>
      <c r="O7" s="3"/>
      <c r="P7" s="3"/>
    </row>
    <row r="8" spans="1:16">
      <c r="A8" s="8">
        <v>4</v>
      </c>
      <c r="B8" s="8" t="s">
        <v>14</v>
      </c>
      <c r="C8" s="8">
        <v>1</v>
      </c>
      <c r="D8" s="8">
        <v>6</v>
      </c>
      <c r="E8" s="9">
        <v>35000</v>
      </c>
      <c r="F8" s="9">
        <v>7000</v>
      </c>
      <c r="G8" s="8">
        <f t="shared" si="0"/>
        <v>12600</v>
      </c>
      <c r="H8" s="8"/>
      <c r="I8" s="8"/>
      <c r="J8" s="3"/>
      <c r="K8" s="3"/>
      <c r="L8" s="3"/>
      <c r="M8" s="3"/>
      <c r="N8" s="3"/>
      <c r="O8" s="3"/>
      <c r="P8" s="3"/>
    </row>
    <row r="9" spans="1:16" ht="26.4">
      <c r="A9" s="8">
        <v>5</v>
      </c>
      <c r="B9" s="10" t="s">
        <v>15</v>
      </c>
      <c r="C9" s="8">
        <v>1</v>
      </c>
      <c r="D9" s="8">
        <v>6</v>
      </c>
      <c r="E9" s="9">
        <v>40000</v>
      </c>
      <c r="F9" s="9">
        <v>5000</v>
      </c>
      <c r="G9" s="8">
        <f t="shared" si="0"/>
        <v>13500</v>
      </c>
      <c r="H9" s="8"/>
      <c r="I9" s="8"/>
      <c r="J9" s="3"/>
      <c r="K9" s="3"/>
      <c r="L9" s="3"/>
      <c r="M9" s="3"/>
      <c r="N9" s="3"/>
      <c r="O9" s="3"/>
      <c r="P9" s="3"/>
    </row>
    <row r="10" spans="1:16">
      <c r="A10" s="8">
        <v>6</v>
      </c>
      <c r="B10" s="8" t="s">
        <v>16</v>
      </c>
      <c r="C10" s="8">
        <v>1</v>
      </c>
      <c r="D10" s="8">
        <v>6</v>
      </c>
      <c r="E10" s="9">
        <v>30000</v>
      </c>
      <c r="F10" s="8"/>
      <c r="G10" s="8">
        <f t="shared" si="0"/>
        <v>9000</v>
      </c>
      <c r="H10" s="8"/>
      <c r="I10" s="8"/>
      <c r="J10" s="3"/>
      <c r="K10" s="3"/>
      <c r="L10" s="3"/>
      <c r="M10" s="3"/>
      <c r="N10" s="3"/>
      <c r="O10" s="3"/>
      <c r="P10" s="3"/>
    </row>
    <row r="11" spans="1:16">
      <c r="A11" s="8">
        <v>7</v>
      </c>
      <c r="B11" s="8" t="s">
        <v>17</v>
      </c>
      <c r="C11" s="8">
        <v>1</v>
      </c>
      <c r="D11" s="8">
        <v>6</v>
      </c>
      <c r="E11" s="9">
        <v>28000</v>
      </c>
      <c r="F11" s="8" t="s">
        <v>18</v>
      </c>
      <c r="G11" s="11">
        <f>E11*30%</f>
        <v>8400</v>
      </c>
      <c r="H11" s="8"/>
      <c r="I11" s="8"/>
      <c r="J11" s="3"/>
      <c r="K11" s="3"/>
      <c r="L11" s="3"/>
      <c r="M11" s="3"/>
      <c r="N11" s="3"/>
      <c r="O11" s="3"/>
      <c r="P11" s="3"/>
    </row>
    <row r="12" spans="1:16">
      <c r="A12" s="8">
        <v>8</v>
      </c>
      <c r="B12" s="8" t="s">
        <v>19</v>
      </c>
      <c r="C12" s="8">
        <v>1</v>
      </c>
      <c r="D12" s="8">
        <v>6</v>
      </c>
      <c r="E12" s="9">
        <v>32000</v>
      </c>
      <c r="F12" s="8" t="s">
        <v>18</v>
      </c>
      <c r="G12" s="11">
        <f>E12*30%</f>
        <v>9600</v>
      </c>
      <c r="H12" s="8"/>
      <c r="I12" s="8"/>
      <c r="J12" s="3"/>
      <c r="K12" s="3"/>
      <c r="L12" s="3"/>
      <c r="M12" s="3"/>
      <c r="N12" s="3"/>
      <c r="O12" s="3"/>
      <c r="P12" s="3"/>
    </row>
    <row r="13" spans="1:16">
      <c r="A13" s="8">
        <v>9</v>
      </c>
      <c r="B13" s="8" t="s">
        <v>20</v>
      </c>
      <c r="C13" s="8">
        <v>1</v>
      </c>
      <c r="D13" s="8">
        <v>6</v>
      </c>
      <c r="E13" s="9">
        <v>25000</v>
      </c>
      <c r="F13" s="8" t="s">
        <v>18</v>
      </c>
      <c r="G13" s="11">
        <f>E13*30%</f>
        <v>7500</v>
      </c>
      <c r="H13" s="8"/>
      <c r="I13" s="8"/>
      <c r="J13" s="3"/>
      <c r="K13" s="3"/>
      <c r="L13" s="3"/>
      <c r="M13" s="3"/>
      <c r="N13" s="3"/>
      <c r="O13" s="3"/>
      <c r="P13" s="3"/>
    </row>
    <row r="14" spans="1:16" ht="42.3" customHeight="1">
      <c r="A14" s="8">
        <v>10</v>
      </c>
      <c r="B14" s="10" t="s">
        <v>21</v>
      </c>
      <c r="C14" s="8">
        <v>1</v>
      </c>
      <c r="D14" s="8">
        <v>6</v>
      </c>
      <c r="E14" s="9">
        <v>30000</v>
      </c>
      <c r="F14" s="8"/>
      <c r="G14" s="8">
        <f>(E14+F14)*0.3</f>
        <v>9000</v>
      </c>
      <c r="H14" s="8"/>
      <c r="I14" s="8"/>
      <c r="J14" s="3"/>
      <c r="K14" s="3"/>
      <c r="L14" s="3"/>
      <c r="M14" s="3"/>
      <c r="N14" s="3"/>
      <c r="O14" s="3"/>
      <c r="P14" s="3"/>
    </row>
    <row r="15" spans="1:16">
      <c r="A15" s="8">
        <v>11</v>
      </c>
      <c r="B15" s="8" t="s">
        <v>22</v>
      </c>
      <c r="C15" s="8">
        <v>1</v>
      </c>
      <c r="D15" s="8">
        <v>6</v>
      </c>
      <c r="E15" s="9">
        <v>26400</v>
      </c>
      <c r="F15" s="8"/>
      <c r="G15" s="8">
        <f>(E15+F15)*0.3</f>
        <v>7920</v>
      </c>
      <c r="H15" s="8"/>
      <c r="I15" s="8"/>
      <c r="J15" s="3"/>
      <c r="K15" s="3"/>
      <c r="L15" s="3"/>
      <c r="M15" s="3"/>
      <c r="N15" s="3"/>
      <c r="O15" s="3"/>
      <c r="P15" s="3"/>
    </row>
    <row r="16" spans="1:16">
      <c r="A16" s="8"/>
      <c r="B16" s="12" t="s">
        <v>23</v>
      </c>
      <c r="C16" s="12"/>
      <c r="D16" s="12"/>
      <c r="E16" s="9">
        <f>SUM(E5:E15)</f>
        <v>456400</v>
      </c>
      <c r="F16" s="13">
        <f>E16+F5+F6+F7+F8+F9+F14</f>
        <v>518400</v>
      </c>
      <c r="G16" s="13">
        <f>G5+G7+G8+G9+G10+G14+G15+G11+G12+G13+G6</f>
        <v>155520</v>
      </c>
      <c r="H16" s="8"/>
      <c r="I16" s="8"/>
      <c r="J16" s="3"/>
      <c r="K16" s="3"/>
      <c r="L16" s="3"/>
      <c r="M16" s="3"/>
      <c r="N16" s="3"/>
      <c r="O16" s="3"/>
      <c r="P16" s="3"/>
    </row>
    <row r="17" spans="1:16">
      <c r="A17" s="3"/>
      <c r="B17" s="3"/>
      <c r="C17" s="3"/>
      <c r="D17" s="3"/>
      <c r="E17" s="3"/>
      <c r="F17" s="14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4" t="s">
        <v>245</v>
      </c>
      <c r="C18" s="3">
        <v>120000</v>
      </c>
      <c r="D18" s="3"/>
      <c r="E18" s="3"/>
      <c r="F18" s="14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6.4">
      <c r="A19" s="4"/>
      <c r="B19" s="15" t="s">
        <v>24</v>
      </c>
      <c r="C19" s="3">
        <v>170000</v>
      </c>
      <c r="D19" s="3"/>
      <c r="E19" s="4" t="s">
        <v>25</v>
      </c>
      <c r="F19" s="3" t="s">
        <v>246</v>
      </c>
      <c r="G19" s="7">
        <v>146113.15</v>
      </c>
      <c r="H19" s="3"/>
      <c r="I19" s="3"/>
      <c r="J19" s="3"/>
      <c r="K19" s="3"/>
      <c r="L19" s="3"/>
      <c r="M19" s="3"/>
      <c r="N19" s="3"/>
      <c r="O19" s="3"/>
      <c r="P19" s="3"/>
    </row>
    <row r="20" spans="1:16" ht="28.95" customHeight="1">
      <c r="A20" s="3"/>
      <c r="B20" s="15" t="s">
        <v>26</v>
      </c>
      <c r="C20" s="3">
        <v>25000</v>
      </c>
      <c r="D20" s="3"/>
      <c r="E20" s="3"/>
      <c r="F20" s="3" t="s">
        <v>11</v>
      </c>
      <c r="G20" s="7">
        <f>G19*10</f>
        <v>1461131.5</v>
      </c>
      <c r="H20" s="3"/>
      <c r="I20" s="3"/>
      <c r="J20" s="3"/>
      <c r="K20" s="3"/>
      <c r="L20" s="3"/>
      <c r="M20" s="3"/>
      <c r="N20" s="3"/>
      <c r="O20" s="3"/>
      <c r="P20" s="3"/>
    </row>
    <row r="21" spans="1:16">
      <c r="A21" s="3"/>
      <c r="B21" s="4" t="s">
        <v>27</v>
      </c>
      <c r="C21" s="3">
        <v>12000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6.4">
      <c r="A22" s="3"/>
      <c r="B22" s="15" t="s">
        <v>28</v>
      </c>
      <c r="C22" s="3">
        <v>78230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>
      <c r="A23" s="3"/>
      <c r="B23" s="4" t="s">
        <v>248</v>
      </c>
      <c r="C23" s="3">
        <v>20000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>
      <c r="A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6.4">
      <c r="A26" s="3"/>
      <c r="B26" s="16" t="s">
        <v>29</v>
      </c>
      <c r="C26" s="3"/>
      <c r="D26" s="3"/>
      <c r="E26" s="17">
        <f>G20-B64</f>
        <v>-53844.860000000102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>
      <c r="A31" s="3"/>
      <c r="B31" s="4" t="s">
        <v>30</v>
      </c>
      <c r="C31" s="3"/>
      <c r="D31" s="3"/>
      <c r="E31" s="3"/>
      <c r="F31" s="3"/>
      <c r="G31" s="3"/>
      <c r="H31" s="3"/>
      <c r="I31" s="3"/>
      <c r="J31" s="3" t="s">
        <v>31</v>
      </c>
      <c r="K31" s="18" t="s">
        <v>32</v>
      </c>
      <c r="L31" s="10" t="s">
        <v>33</v>
      </c>
      <c r="M31" s="10" t="s">
        <v>34</v>
      </c>
      <c r="N31" s="8" t="s">
        <v>23</v>
      </c>
      <c r="O31" s="3"/>
      <c r="P31" s="3" t="s">
        <v>35</v>
      </c>
    </row>
    <row r="32" spans="1:16" ht="39.6">
      <c r="A32" s="5" t="s">
        <v>36</v>
      </c>
      <c r="B32" s="5" t="s">
        <v>37</v>
      </c>
      <c r="C32" s="5" t="s">
        <v>38</v>
      </c>
      <c r="D32" s="5" t="s">
        <v>39</v>
      </c>
      <c r="E32" s="19" t="s">
        <v>40</v>
      </c>
      <c r="F32" s="20" t="s">
        <v>35</v>
      </c>
      <c r="G32" s="20" t="s">
        <v>41</v>
      </c>
      <c r="H32" s="18" t="s">
        <v>42</v>
      </c>
      <c r="I32" s="18" t="s">
        <v>43</v>
      </c>
      <c r="J32" s="21" t="s">
        <v>44</v>
      </c>
      <c r="K32" s="10" t="s">
        <v>45</v>
      </c>
      <c r="L32" s="10" t="s">
        <v>46</v>
      </c>
      <c r="M32" s="10">
        <v>100</v>
      </c>
      <c r="N32" s="8">
        <f>10*M32</f>
        <v>1000</v>
      </c>
      <c r="O32" s="3"/>
      <c r="P32" s="3"/>
    </row>
    <row r="33" spans="1:16">
      <c r="A33" s="22" t="s">
        <v>47</v>
      </c>
      <c r="B33" s="8"/>
      <c r="C33" s="8"/>
      <c r="D33" s="8"/>
      <c r="E33" s="8"/>
      <c r="F33" s="8"/>
      <c r="G33" s="8"/>
      <c r="H33" s="8"/>
      <c r="I33" s="8"/>
      <c r="J33" s="10"/>
      <c r="K33" s="10" t="s">
        <v>48</v>
      </c>
      <c r="L33" s="10"/>
      <c r="M33" s="10"/>
      <c r="N33" s="8">
        <f>L33*M33</f>
        <v>0</v>
      </c>
      <c r="O33" s="3"/>
      <c r="P33" s="3"/>
    </row>
    <row r="34" spans="1:16" ht="28.5" customHeight="1">
      <c r="A34" s="23" t="s">
        <v>49</v>
      </c>
      <c r="B34" s="10" t="s">
        <v>50</v>
      </c>
      <c r="C34" s="8">
        <v>380</v>
      </c>
      <c r="D34" s="8">
        <v>450</v>
      </c>
      <c r="E34" s="10" t="s">
        <v>51</v>
      </c>
      <c r="F34" s="18" t="s">
        <v>52</v>
      </c>
      <c r="G34" s="20">
        <f>90.83*70</f>
        <v>6358.0999999999995</v>
      </c>
      <c r="H34" s="20">
        <f>450-90.83</f>
        <v>359.17</v>
      </c>
      <c r="I34" s="20">
        <f>H34*70</f>
        <v>25141.9</v>
      </c>
      <c r="J34" s="10"/>
      <c r="K34" s="10" t="s">
        <v>53</v>
      </c>
      <c r="L34" s="10">
        <f>6+4+10+3</f>
        <v>23</v>
      </c>
      <c r="M34" s="10">
        <v>350</v>
      </c>
      <c r="N34" s="8">
        <f>L34*M34</f>
        <v>8050</v>
      </c>
      <c r="O34" s="3"/>
      <c r="P34" s="3"/>
    </row>
    <row r="35" spans="1:16" ht="79.5" customHeight="1">
      <c r="A35" s="8"/>
      <c r="B35" s="10" t="s">
        <v>54</v>
      </c>
      <c r="C35" s="8">
        <v>250</v>
      </c>
      <c r="D35" s="8">
        <v>300</v>
      </c>
      <c r="E35" s="10" t="s">
        <v>55</v>
      </c>
      <c r="F35" s="18" t="s">
        <v>56</v>
      </c>
      <c r="G35" s="20">
        <f>42.6*70</f>
        <v>2982</v>
      </c>
      <c r="H35" s="20">
        <f>300-42.6</f>
        <v>257.39999999999998</v>
      </c>
      <c r="I35" s="20">
        <f>H35*70</f>
        <v>18018</v>
      </c>
      <c r="J35" s="10"/>
      <c r="K35" s="10" t="s">
        <v>57</v>
      </c>
      <c r="L35" s="10" t="s">
        <v>58</v>
      </c>
      <c r="M35" s="10">
        <v>500</v>
      </c>
      <c r="N35" s="8">
        <f>500*6</f>
        <v>3000</v>
      </c>
      <c r="O35" s="3"/>
      <c r="P35" s="3"/>
    </row>
    <row r="36" spans="1:16" ht="57" customHeight="1">
      <c r="A36" s="23" t="s">
        <v>59</v>
      </c>
      <c r="B36" s="10" t="s">
        <v>60</v>
      </c>
      <c r="C36" s="8">
        <v>130</v>
      </c>
      <c r="D36" s="8">
        <v>580</v>
      </c>
      <c r="E36" s="10" t="s">
        <v>61</v>
      </c>
      <c r="F36" s="18" t="s">
        <v>62</v>
      </c>
      <c r="G36" s="20">
        <f>340*70</f>
        <v>23800</v>
      </c>
      <c r="H36" s="5">
        <f>580-340</f>
        <v>240</v>
      </c>
      <c r="I36" s="5">
        <f>H36*70</f>
        <v>16800</v>
      </c>
      <c r="J36" s="10"/>
      <c r="K36" s="8" t="s">
        <v>63</v>
      </c>
      <c r="L36" s="8">
        <v>7</v>
      </c>
      <c r="M36" s="10">
        <v>200</v>
      </c>
      <c r="N36" s="8">
        <f>L36*M36</f>
        <v>1400</v>
      </c>
      <c r="O36" s="3"/>
      <c r="P36" s="3"/>
    </row>
    <row r="37" spans="1:16" ht="59.25" customHeight="1">
      <c r="A37" s="8"/>
      <c r="B37" s="10" t="s">
        <v>64</v>
      </c>
      <c r="C37" s="8">
        <v>350</v>
      </c>
      <c r="D37" s="8">
        <v>400</v>
      </c>
      <c r="E37" s="6" t="s">
        <v>65</v>
      </c>
      <c r="F37" s="20" t="s">
        <v>66</v>
      </c>
      <c r="G37" s="20">
        <f>127.35*20</f>
        <v>2547</v>
      </c>
      <c r="H37" s="5">
        <f>400-127.35</f>
        <v>272.64999999999998</v>
      </c>
      <c r="I37" s="5">
        <f>H37*20</f>
        <v>5453</v>
      </c>
      <c r="J37" s="10"/>
      <c r="K37" s="10" t="s">
        <v>67</v>
      </c>
      <c r="L37" s="10">
        <v>7</v>
      </c>
      <c r="M37" s="10">
        <v>120</v>
      </c>
      <c r="N37" s="8">
        <f>L37*M37</f>
        <v>840</v>
      </c>
      <c r="O37" s="3"/>
      <c r="P37" s="3"/>
    </row>
    <row r="38" spans="1:16" ht="49.5" customHeight="1">
      <c r="A38" s="23" t="s">
        <v>68</v>
      </c>
      <c r="B38" s="10" t="s">
        <v>69</v>
      </c>
      <c r="C38" s="8">
        <v>120</v>
      </c>
      <c r="D38" s="8">
        <v>300</v>
      </c>
      <c r="E38" s="10" t="s">
        <v>70</v>
      </c>
      <c r="F38" s="18" t="s">
        <v>71</v>
      </c>
      <c r="G38" s="20">
        <f>67.34*100</f>
        <v>6734</v>
      </c>
      <c r="H38" s="5">
        <f>300-67.34</f>
        <v>232.66</v>
      </c>
      <c r="I38" s="5">
        <f>H38*100</f>
        <v>23266</v>
      </c>
      <c r="J38" s="10"/>
      <c r="K38" s="10" t="s">
        <v>72</v>
      </c>
      <c r="L38" s="10">
        <v>3</v>
      </c>
      <c r="M38" s="10">
        <v>230</v>
      </c>
      <c r="N38" s="8">
        <f>L38*M38</f>
        <v>690</v>
      </c>
      <c r="O38" s="3"/>
      <c r="P38" s="3"/>
    </row>
    <row r="39" spans="1:16" ht="54" customHeight="1">
      <c r="A39" s="24" t="s">
        <v>73</v>
      </c>
      <c r="B39" s="10" t="s">
        <v>74</v>
      </c>
      <c r="C39" s="8">
        <v>250</v>
      </c>
      <c r="D39" s="8">
        <v>350</v>
      </c>
      <c r="E39" s="10" t="s">
        <v>75</v>
      </c>
      <c r="F39" s="25" t="s">
        <v>76</v>
      </c>
      <c r="G39" s="20">
        <f>92.25*40</f>
        <v>3690</v>
      </c>
      <c r="H39" s="5">
        <f>350-96.25</f>
        <v>253.75</v>
      </c>
      <c r="I39" s="5">
        <f>H39*40</f>
        <v>10150</v>
      </c>
      <c r="J39" s="10"/>
      <c r="K39" s="10" t="s">
        <v>77</v>
      </c>
      <c r="L39" s="10">
        <v>21</v>
      </c>
      <c r="M39" s="10">
        <v>1200</v>
      </c>
      <c r="N39" s="8">
        <f>L39*M39</f>
        <v>25200</v>
      </c>
      <c r="O39" s="3"/>
      <c r="P39" s="3"/>
    </row>
    <row r="40" spans="1:16" ht="43.5" customHeight="1">
      <c r="A40" s="8"/>
      <c r="B40" s="10" t="s">
        <v>78</v>
      </c>
      <c r="C40" s="8">
        <v>110</v>
      </c>
      <c r="D40" s="8">
        <v>350</v>
      </c>
      <c r="E40" s="10" t="s">
        <v>79</v>
      </c>
      <c r="F40" s="18" t="s">
        <v>80</v>
      </c>
      <c r="G40" s="20">
        <f>51.96*36</f>
        <v>1870.56</v>
      </c>
      <c r="H40" s="5">
        <f>350-51.96</f>
        <v>298.04000000000002</v>
      </c>
      <c r="I40" s="5">
        <f>H40*36</f>
        <v>10729.44</v>
      </c>
      <c r="J40" s="10"/>
      <c r="K40" s="10" t="s">
        <v>81</v>
      </c>
      <c r="L40" s="8" t="s">
        <v>82</v>
      </c>
      <c r="M40" s="8">
        <v>89</v>
      </c>
      <c r="N40" s="8">
        <f>89*20</f>
        <v>1780</v>
      </c>
      <c r="O40" s="3"/>
      <c r="P40" s="3"/>
    </row>
    <row r="41" spans="1:16" ht="57.75" customHeight="1">
      <c r="A41" s="23" t="s">
        <v>83</v>
      </c>
      <c r="B41" s="10" t="s">
        <v>84</v>
      </c>
      <c r="C41" s="8">
        <v>185</v>
      </c>
      <c r="D41" s="8">
        <v>150</v>
      </c>
      <c r="E41" s="10" t="s">
        <v>85</v>
      </c>
      <c r="F41" s="18" t="s">
        <v>86</v>
      </c>
      <c r="G41" s="20">
        <f>111.49*30</f>
        <v>3344.7</v>
      </c>
      <c r="H41" s="5">
        <f>150-111.49</f>
        <v>38.510000000000005</v>
      </c>
      <c r="I41" s="5">
        <f>H41*30</f>
        <v>1155.3000000000002</v>
      </c>
      <c r="J41" s="8"/>
      <c r="K41" s="10" t="s">
        <v>87</v>
      </c>
      <c r="L41" s="10" t="s">
        <v>88</v>
      </c>
      <c r="M41" s="8">
        <v>20</v>
      </c>
      <c r="N41" s="8">
        <v>600</v>
      </c>
      <c r="O41" s="3"/>
      <c r="P41" s="3"/>
    </row>
    <row r="42" spans="1:16" ht="26.4">
      <c r="A42" s="23" t="s">
        <v>89</v>
      </c>
      <c r="B42" s="10" t="s">
        <v>90</v>
      </c>
      <c r="C42" s="8" t="s">
        <v>91</v>
      </c>
      <c r="D42" s="8">
        <v>70</v>
      </c>
      <c r="E42" s="10" t="s">
        <v>92</v>
      </c>
      <c r="F42" s="8">
        <v>45</v>
      </c>
      <c r="G42" s="26">
        <f>45*100</f>
        <v>4500</v>
      </c>
      <c r="H42" s="27">
        <f>D42-F42</f>
        <v>25</v>
      </c>
      <c r="I42" s="27">
        <f>H42*100</f>
        <v>2500</v>
      </c>
      <c r="J42" s="8"/>
      <c r="K42" s="8" t="s">
        <v>93</v>
      </c>
      <c r="L42" s="8">
        <v>18</v>
      </c>
      <c r="M42" s="8">
        <v>130</v>
      </c>
      <c r="N42" s="8">
        <f>L42*M42</f>
        <v>2340</v>
      </c>
      <c r="O42" s="3"/>
      <c r="P42" s="3"/>
    </row>
    <row r="43" spans="1:16">
      <c r="A43" s="8"/>
      <c r="B43" s="12" t="s">
        <v>23</v>
      </c>
      <c r="C43" s="12"/>
      <c r="D43" s="12"/>
      <c r="E43" s="12"/>
      <c r="F43" s="12"/>
      <c r="G43" s="28">
        <f>SUM(G34:G42)</f>
        <v>55826.359999999993</v>
      </c>
      <c r="H43" s="28">
        <f>SUM(H34:H42)</f>
        <v>1977.1799999999998</v>
      </c>
      <c r="I43" s="28">
        <f>SUM(I34:I42)</f>
        <v>113213.64</v>
      </c>
      <c r="J43" s="8"/>
      <c r="K43" s="8" t="s">
        <v>94</v>
      </c>
      <c r="L43" s="8">
        <v>1.5</v>
      </c>
      <c r="M43" s="8">
        <v>50</v>
      </c>
      <c r="N43" s="8">
        <f>3*M43</f>
        <v>150</v>
      </c>
      <c r="O43" s="3"/>
      <c r="P43" s="3"/>
    </row>
    <row r="44" spans="1:16">
      <c r="A44" s="3"/>
      <c r="B44" s="3"/>
      <c r="C44" s="3"/>
      <c r="D44" s="3"/>
      <c r="E44" s="3"/>
      <c r="F44" s="3"/>
      <c r="G44" s="3"/>
      <c r="H44" s="3"/>
      <c r="I44" s="3"/>
      <c r="J44" s="3"/>
      <c r="K44" s="8" t="s">
        <v>95</v>
      </c>
      <c r="L44" s="8">
        <v>4</v>
      </c>
      <c r="M44" s="8">
        <v>120</v>
      </c>
      <c r="N44" s="8">
        <f>L44*M44</f>
        <v>480</v>
      </c>
      <c r="O44" s="3"/>
      <c r="P44" s="3"/>
    </row>
    <row r="45" spans="1:16">
      <c r="A45" s="3"/>
      <c r="B45" s="3"/>
      <c r="C45" s="3"/>
      <c r="D45" s="3"/>
      <c r="E45" s="3"/>
      <c r="F45" s="3"/>
      <c r="G45" s="3"/>
      <c r="H45" s="3"/>
      <c r="I45" s="3"/>
      <c r="J45" s="3"/>
      <c r="K45" s="8" t="s">
        <v>96</v>
      </c>
      <c r="L45" s="8">
        <v>18</v>
      </c>
      <c r="M45" s="8">
        <v>500</v>
      </c>
      <c r="N45" s="8">
        <v>500</v>
      </c>
      <c r="O45" s="3"/>
      <c r="P45" s="3"/>
    </row>
    <row r="46" spans="1:16">
      <c r="A46" s="3"/>
      <c r="B46" s="3"/>
      <c r="C46" s="3"/>
      <c r="D46" s="3"/>
      <c r="E46" s="3"/>
      <c r="F46" s="3"/>
      <c r="G46" s="3"/>
      <c r="H46" s="3"/>
      <c r="I46" s="3"/>
      <c r="J46" s="3"/>
      <c r="K46" s="8" t="s">
        <v>97</v>
      </c>
      <c r="L46" s="8">
        <v>2</v>
      </c>
      <c r="M46" s="8">
        <v>50</v>
      </c>
      <c r="N46" s="8">
        <f>L46*M46</f>
        <v>100</v>
      </c>
      <c r="O46" s="3"/>
      <c r="P46" s="3"/>
    </row>
    <row r="47" spans="1:16">
      <c r="A47" s="3"/>
      <c r="B47" s="3"/>
      <c r="C47" s="3"/>
      <c r="D47" s="3"/>
      <c r="E47" s="3"/>
      <c r="F47" s="3"/>
      <c r="G47" s="3"/>
      <c r="H47" s="3"/>
      <c r="I47" s="3"/>
      <c r="J47" s="3"/>
      <c r="K47" s="8" t="s">
        <v>98</v>
      </c>
      <c r="L47" s="8">
        <v>4</v>
      </c>
      <c r="M47" s="8">
        <v>63</v>
      </c>
      <c r="N47" s="8">
        <f>L47*M47</f>
        <v>252</v>
      </c>
      <c r="O47" s="3"/>
      <c r="P47" s="3"/>
    </row>
    <row r="48" spans="1:16">
      <c r="A48" s="3"/>
      <c r="B48" s="3"/>
      <c r="C48" s="3"/>
      <c r="D48" s="3"/>
      <c r="E48" s="3"/>
      <c r="F48" s="3"/>
      <c r="G48" s="3"/>
      <c r="H48" s="3"/>
      <c r="I48" s="3"/>
      <c r="J48" s="3"/>
      <c r="K48" s="8" t="s">
        <v>99</v>
      </c>
      <c r="L48" s="8">
        <v>1</v>
      </c>
      <c r="M48" s="8">
        <v>100</v>
      </c>
      <c r="N48" s="8">
        <f>L48*M48</f>
        <v>100</v>
      </c>
      <c r="O48" s="3"/>
      <c r="P48" s="3"/>
    </row>
    <row r="49" spans="1:16">
      <c r="A49" s="3"/>
      <c r="B49" s="3"/>
      <c r="C49" s="3"/>
      <c r="D49" s="3"/>
      <c r="E49" s="3"/>
      <c r="F49" s="3"/>
      <c r="G49" s="3"/>
      <c r="H49" s="3"/>
      <c r="I49" s="3"/>
      <c r="J49" s="3"/>
      <c r="K49" s="8" t="s">
        <v>100</v>
      </c>
      <c r="L49" s="8" t="s">
        <v>101</v>
      </c>
      <c r="M49" s="8">
        <v>100</v>
      </c>
      <c r="N49" s="8">
        <f>10*100</f>
        <v>1000</v>
      </c>
      <c r="O49" s="3"/>
      <c r="P49" s="3"/>
    </row>
    <row r="50" spans="1:16" ht="26.4">
      <c r="A50" s="3"/>
      <c r="B50" s="3"/>
      <c r="C50" s="3"/>
      <c r="D50" s="3"/>
      <c r="E50" s="3"/>
      <c r="F50" s="3"/>
      <c r="G50" s="3"/>
      <c r="H50" s="3"/>
      <c r="I50" s="3"/>
      <c r="J50" s="3"/>
      <c r="K50" s="8" t="s">
        <v>102</v>
      </c>
      <c r="L50" s="10" t="s">
        <v>103</v>
      </c>
      <c r="M50" s="8">
        <v>17</v>
      </c>
      <c r="N50" s="8">
        <f>17*40</f>
        <v>680</v>
      </c>
      <c r="O50" s="3"/>
      <c r="P50" s="3"/>
    </row>
    <row r="51" spans="1:16" ht="26.4">
      <c r="A51" s="3"/>
      <c r="B51" s="3"/>
      <c r="C51" s="3"/>
      <c r="D51" s="3"/>
      <c r="E51" s="3"/>
      <c r="F51" s="3"/>
      <c r="G51" s="3"/>
      <c r="H51" s="3"/>
      <c r="I51" s="3"/>
      <c r="J51" s="3"/>
      <c r="K51" s="10" t="s">
        <v>104</v>
      </c>
      <c r="L51" s="10" t="s">
        <v>105</v>
      </c>
      <c r="M51" s="8">
        <v>1</v>
      </c>
      <c r="N51" s="8">
        <f>546*2</f>
        <v>1092</v>
      </c>
      <c r="O51" s="3"/>
      <c r="P51" s="3"/>
    </row>
    <row r="52" spans="1:16" ht="26.4">
      <c r="A52" s="3"/>
      <c r="B52" s="3"/>
      <c r="C52" s="3"/>
      <c r="D52" s="3"/>
      <c r="E52" s="3"/>
      <c r="F52" s="3"/>
      <c r="G52" s="3"/>
      <c r="H52" s="3"/>
      <c r="I52" s="3"/>
      <c r="J52" s="3"/>
      <c r="K52" s="10" t="s">
        <v>106</v>
      </c>
      <c r="L52" s="10" t="s">
        <v>107</v>
      </c>
      <c r="M52" s="8">
        <v>10</v>
      </c>
      <c r="N52" s="8">
        <v>195</v>
      </c>
      <c r="O52" s="3"/>
      <c r="P52" s="3"/>
    </row>
    <row r="53" spans="1:16">
      <c r="A53" s="3"/>
      <c r="B53" s="3"/>
      <c r="C53" s="3"/>
      <c r="D53" s="3"/>
      <c r="E53" s="3"/>
      <c r="F53" s="3"/>
      <c r="G53" s="3"/>
      <c r="H53" s="3"/>
      <c r="I53" s="3"/>
      <c r="J53" s="3"/>
      <c r="K53" s="8" t="s">
        <v>108</v>
      </c>
      <c r="L53" s="8"/>
      <c r="M53" s="8">
        <v>1</v>
      </c>
      <c r="N53" s="8">
        <v>46</v>
      </c>
      <c r="O53" s="3"/>
      <c r="P53" s="3"/>
    </row>
    <row r="54" spans="1:16">
      <c r="A54" s="3"/>
      <c r="B54" s="3"/>
      <c r="C54" s="3"/>
      <c r="D54" s="3"/>
      <c r="E54" s="3"/>
      <c r="F54" s="3"/>
      <c r="G54" s="3"/>
      <c r="H54" s="3"/>
      <c r="I54" s="3"/>
      <c r="J54" s="3"/>
      <c r="K54" s="8" t="s">
        <v>109</v>
      </c>
      <c r="L54" s="8" t="s">
        <v>110</v>
      </c>
      <c r="M54" s="8">
        <v>30</v>
      </c>
      <c r="N54" s="8">
        <v>30</v>
      </c>
      <c r="O54" s="3"/>
      <c r="P54" s="3"/>
    </row>
    <row r="55" spans="1:16">
      <c r="A55" s="3"/>
      <c r="B55" s="3"/>
      <c r="C55" s="3"/>
      <c r="D55" s="3"/>
      <c r="E55" s="3"/>
      <c r="F55" s="3"/>
      <c r="G55" s="3"/>
      <c r="H55" s="3"/>
      <c r="I55" s="3"/>
      <c r="J55" s="3"/>
      <c r="K55" s="8" t="s">
        <v>111</v>
      </c>
      <c r="L55" s="8" t="s">
        <v>112</v>
      </c>
      <c r="M55" s="8">
        <v>1</v>
      </c>
      <c r="N55" s="8">
        <v>23.4</v>
      </c>
      <c r="O55" s="3"/>
      <c r="P55" s="3"/>
    </row>
    <row r="56" spans="1:16" ht="26.4">
      <c r="A56" s="3"/>
      <c r="B56" s="3"/>
      <c r="C56" s="3"/>
      <c r="D56" s="3"/>
      <c r="E56" s="3"/>
      <c r="F56" s="3"/>
      <c r="G56" s="3"/>
      <c r="H56" s="3"/>
      <c r="I56" s="3"/>
      <c r="J56" s="3"/>
      <c r="K56" s="8" t="s">
        <v>113</v>
      </c>
      <c r="L56" s="10" t="s">
        <v>114</v>
      </c>
      <c r="M56" s="8">
        <v>60</v>
      </c>
      <c r="N56" s="8">
        <f>4*60</f>
        <v>240</v>
      </c>
      <c r="O56" s="3"/>
      <c r="P56" s="3"/>
    </row>
    <row r="57" spans="1:16">
      <c r="A57" s="3"/>
      <c r="B57" s="3"/>
      <c r="C57" s="3"/>
      <c r="D57" s="3"/>
      <c r="E57" s="3"/>
      <c r="F57" s="3"/>
      <c r="G57" s="3"/>
      <c r="H57" s="3"/>
      <c r="I57" s="3"/>
      <c r="J57" s="3"/>
      <c r="K57" s="8" t="s">
        <v>115</v>
      </c>
      <c r="L57" s="8">
        <v>720</v>
      </c>
      <c r="M57" s="8">
        <v>1</v>
      </c>
      <c r="N57" s="8">
        <v>414</v>
      </c>
      <c r="O57" s="3"/>
      <c r="P57" s="3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K58" s="8" t="s">
        <v>116</v>
      </c>
      <c r="L58" s="8"/>
      <c r="M58" s="8"/>
      <c r="N58" s="8">
        <v>148.19999999999999</v>
      </c>
      <c r="O58" s="3"/>
      <c r="P58" s="3"/>
    </row>
    <row r="59" spans="1:16">
      <c r="A59" s="3"/>
      <c r="B59" s="3"/>
      <c r="C59" s="3"/>
      <c r="D59" s="3"/>
      <c r="E59" s="3"/>
      <c r="F59" s="3"/>
      <c r="G59" s="3"/>
      <c r="H59" s="3"/>
      <c r="I59" s="3"/>
      <c r="J59" s="3"/>
      <c r="K59" s="8" t="s">
        <v>117</v>
      </c>
      <c r="L59" s="8">
        <v>90</v>
      </c>
      <c r="M59" s="8">
        <v>5</v>
      </c>
      <c r="N59" s="8">
        <v>450</v>
      </c>
      <c r="O59" s="3"/>
      <c r="P59" s="3"/>
    </row>
    <row r="60" spans="1:16">
      <c r="A60" s="3"/>
      <c r="B60" s="3"/>
      <c r="C60" s="3"/>
      <c r="D60" s="3"/>
      <c r="E60" s="3"/>
      <c r="F60" s="3"/>
      <c r="G60" s="3"/>
      <c r="H60" s="3"/>
      <c r="I60" s="3"/>
      <c r="J60" s="3"/>
      <c r="K60" s="8" t="s">
        <v>118</v>
      </c>
      <c r="L60" s="8" t="s">
        <v>119</v>
      </c>
      <c r="M60" s="8" t="s">
        <v>120</v>
      </c>
      <c r="N60" s="29">
        <v>200</v>
      </c>
      <c r="O60" s="3"/>
      <c r="P60" s="3"/>
    </row>
    <row r="61" spans="1:16">
      <c r="A61" s="3"/>
      <c r="B61" s="3"/>
      <c r="C61" s="3"/>
      <c r="D61" s="3"/>
      <c r="E61" s="3"/>
      <c r="F61" s="3"/>
      <c r="G61" s="3"/>
      <c r="H61" s="3"/>
      <c r="I61" s="3"/>
      <c r="J61" s="3"/>
      <c r="K61" s="8" t="s">
        <v>121</v>
      </c>
      <c r="L61" s="8"/>
      <c r="M61" s="8">
        <v>200</v>
      </c>
      <c r="N61" s="29">
        <v>200</v>
      </c>
      <c r="O61" s="3"/>
      <c r="P61" s="3"/>
    </row>
    <row r="62" spans="1:16">
      <c r="A62" s="3"/>
      <c r="B62" s="3"/>
      <c r="C62" s="3"/>
      <c r="D62" s="3"/>
      <c r="E62" s="3"/>
      <c r="F62" s="3"/>
      <c r="G62" s="3"/>
      <c r="H62" s="3"/>
      <c r="I62" s="3"/>
      <c r="J62" s="3"/>
      <c r="K62" s="8" t="s">
        <v>122</v>
      </c>
      <c r="L62" s="8"/>
      <c r="M62" s="8">
        <v>125.76</v>
      </c>
      <c r="N62" s="29">
        <v>125.76</v>
      </c>
      <c r="O62" s="3"/>
      <c r="P62" s="3"/>
    </row>
    <row r="63" spans="1:16" ht="39.6">
      <c r="A63" s="3"/>
      <c r="B63" s="3"/>
      <c r="C63" s="3"/>
      <c r="D63" s="3"/>
      <c r="E63" s="3"/>
      <c r="F63" s="3"/>
      <c r="G63" s="3"/>
      <c r="H63" s="3"/>
      <c r="I63" s="3"/>
      <c r="J63" s="3"/>
      <c r="K63" s="10" t="s">
        <v>123</v>
      </c>
      <c r="L63" s="8" t="s">
        <v>124</v>
      </c>
      <c r="M63" s="8">
        <v>216</v>
      </c>
      <c r="N63" s="29">
        <f>4500</f>
        <v>4500</v>
      </c>
      <c r="O63" s="3"/>
      <c r="P63" s="3"/>
    </row>
    <row r="64" spans="1:16" ht="40.799999999999997">
      <c r="A64" s="41" t="s">
        <v>247</v>
      </c>
      <c r="B64" s="42">
        <f>C19+C20+C21+C22+F16+G16+C18+C23+G43+60000*6</f>
        <v>1514976.36</v>
      </c>
      <c r="C64" s="3"/>
      <c r="D64" s="3"/>
      <c r="E64" s="3"/>
      <c r="F64" s="3"/>
      <c r="G64" s="3"/>
      <c r="H64" s="3"/>
      <c r="I64" s="3"/>
      <c r="J64" s="3"/>
      <c r="K64" s="8" t="s">
        <v>23</v>
      </c>
      <c r="L64" s="8"/>
      <c r="M64" s="8"/>
      <c r="N64" s="29">
        <f>SUM(N32:N63)</f>
        <v>55826.36</v>
      </c>
      <c r="O64" s="3"/>
      <c r="P64" s="3"/>
    </row>
    <row r="65" spans="1:1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0">
        <f>N64-G43</f>
        <v>0</v>
      </c>
      <c r="O65" s="3"/>
      <c r="P65" s="3"/>
    </row>
    <row r="66" spans="1:1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</sheetData>
  <pageMargins left="0.78749999999999998" right="0.39374999999999999" top="0.78749999999999998" bottom="0.78749999999999998" header="0.39374999999999999" footer="0.39374999999999999"/>
  <pageSetup paperSize="9" orientation="portrait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40"/>
  <sheetViews>
    <sheetView topLeftCell="A6" zoomScale="90" zoomScaleNormal="90" workbookViewId="0">
      <selection activeCell="A6" sqref="A6"/>
    </sheetView>
  </sheetViews>
  <sheetFormatPr defaultColWidth="8.6640625" defaultRowHeight="13.2"/>
  <cols>
    <col min="1" max="1" width="11.5546875" style="2" customWidth="1"/>
    <col min="2" max="2" width="18" style="2" customWidth="1"/>
    <col min="3" max="3" width="7.109375" style="2" customWidth="1"/>
    <col min="4" max="4" width="6.44140625" style="2" customWidth="1"/>
    <col min="5" max="5" width="25" style="2" customWidth="1"/>
    <col min="6" max="8" width="11.5546875" style="2" customWidth="1"/>
    <col min="9" max="9" width="15.33203125" style="2" customWidth="1"/>
    <col min="10" max="14" width="11.5546875" style="2" customWidth="1"/>
  </cols>
  <sheetData>
    <row r="1" spans="1:17">
      <c r="A1" s="3"/>
      <c r="B1" s="4" t="s">
        <v>30</v>
      </c>
      <c r="C1" s="3"/>
      <c r="D1" s="3"/>
      <c r="E1" s="3"/>
      <c r="F1" s="3"/>
      <c r="G1" s="3"/>
      <c r="H1" s="3"/>
      <c r="I1" s="3"/>
      <c r="J1" s="1" t="s">
        <v>32</v>
      </c>
      <c r="K1" s="1"/>
      <c r="L1" s="10" t="s">
        <v>125</v>
      </c>
      <c r="M1" s="10" t="s">
        <v>34</v>
      </c>
      <c r="N1" s="8" t="s">
        <v>23</v>
      </c>
    </row>
    <row r="2" spans="1:17" ht="66.75" customHeight="1">
      <c r="A2" s="5" t="s">
        <v>36</v>
      </c>
      <c r="B2" s="5" t="s">
        <v>37</v>
      </c>
      <c r="C2" s="5" t="s">
        <v>38</v>
      </c>
      <c r="D2" s="5" t="s">
        <v>39</v>
      </c>
      <c r="E2" s="19" t="s">
        <v>40</v>
      </c>
      <c r="F2" s="20" t="s">
        <v>35</v>
      </c>
      <c r="G2" s="20" t="s">
        <v>41</v>
      </c>
      <c r="H2" s="18" t="s">
        <v>42</v>
      </c>
      <c r="I2" s="18" t="s">
        <v>43</v>
      </c>
      <c r="J2" s="31" t="s">
        <v>126</v>
      </c>
      <c r="K2" s="32" t="s">
        <v>127</v>
      </c>
      <c r="L2" s="10">
        <v>7</v>
      </c>
      <c r="M2" s="10">
        <v>80</v>
      </c>
      <c r="N2" s="8">
        <f>7*80</f>
        <v>560</v>
      </c>
    </row>
    <row r="3" spans="1:17" ht="44.25" customHeight="1">
      <c r="A3" s="33" t="s">
        <v>128</v>
      </c>
      <c r="B3" s="8"/>
      <c r="C3" s="8"/>
      <c r="D3" s="8"/>
      <c r="E3" s="8"/>
      <c r="F3" s="8"/>
      <c r="G3" s="8"/>
      <c r="H3" s="8"/>
      <c r="I3" s="8"/>
      <c r="J3" s="10"/>
      <c r="K3" s="32" t="s">
        <v>129</v>
      </c>
      <c r="L3" s="10">
        <f>8.4+0.6</f>
        <v>9</v>
      </c>
      <c r="M3" s="10">
        <v>128</v>
      </c>
      <c r="N3" s="8">
        <f>L3*M3</f>
        <v>1152</v>
      </c>
    </row>
    <row r="4" spans="1:17" ht="55.5" customHeight="1">
      <c r="A4" s="34" t="s">
        <v>49</v>
      </c>
      <c r="B4" s="10" t="s">
        <v>130</v>
      </c>
      <c r="C4" s="8">
        <v>250</v>
      </c>
      <c r="D4" s="8">
        <v>350</v>
      </c>
      <c r="E4" s="10" t="s">
        <v>131</v>
      </c>
      <c r="F4" s="18" t="s">
        <v>132</v>
      </c>
      <c r="G4" s="20">
        <f>36.68*70</f>
        <v>2567.6</v>
      </c>
      <c r="H4" s="20">
        <f>350-36.68</f>
        <v>313.32</v>
      </c>
      <c r="I4" s="20">
        <f>H4*70</f>
        <v>21932.399999999998</v>
      </c>
      <c r="J4" s="10"/>
      <c r="K4" s="32" t="s">
        <v>133</v>
      </c>
      <c r="L4" s="10">
        <v>2.1</v>
      </c>
      <c r="M4" s="10">
        <v>476</v>
      </c>
      <c r="N4" s="8">
        <f>L4*M4</f>
        <v>999.6</v>
      </c>
    </row>
    <row r="5" spans="1:17" ht="60.75" customHeight="1">
      <c r="A5" s="8"/>
      <c r="B5" s="10" t="s">
        <v>134</v>
      </c>
      <c r="C5" s="8">
        <v>250</v>
      </c>
      <c r="D5" s="8">
        <v>300</v>
      </c>
      <c r="E5" s="10" t="s">
        <v>135</v>
      </c>
      <c r="F5" s="18" t="s">
        <v>136</v>
      </c>
      <c r="G5" s="20">
        <f>40.03*70</f>
        <v>2802.1</v>
      </c>
      <c r="H5" s="20">
        <f>300-40.6</f>
        <v>259.39999999999998</v>
      </c>
      <c r="I5" s="20">
        <f>H5*70</f>
        <v>18158</v>
      </c>
      <c r="J5" s="10"/>
      <c r="K5" s="32" t="s">
        <v>137</v>
      </c>
      <c r="L5" s="10">
        <v>14</v>
      </c>
      <c r="M5" s="10">
        <v>138</v>
      </c>
      <c r="N5" s="8">
        <f>L5*M5</f>
        <v>1932</v>
      </c>
    </row>
    <row r="6" spans="1:17" ht="41.25" customHeight="1">
      <c r="A6" s="8"/>
      <c r="B6" s="10" t="s">
        <v>138</v>
      </c>
      <c r="C6" s="8">
        <v>250</v>
      </c>
      <c r="D6" s="8">
        <v>300</v>
      </c>
      <c r="E6" s="10" t="s">
        <v>139</v>
      </c>
      <c r="F6" s="18" t="s">
        <v>140</v>
      </c>
      <c r="G6" s="20">
        <f>32.6*30</f>
        <v>978</v>
      </c>
      <c r="H6" s="20">
        <f>300-32.6</f>
        <v>267.39999999999998</v>
      </c>
      <c r="I6" s="20">
        <f>H6*30</f>
        <v>8021.9999999999991</v>
      </c>
      <c r="J6" s="10"/>
      <c r="K6" s="32" t="s">
        <v>141</v>
      </c>
      <c r="L6" s="10">
        <f>4+6</f>
        <v>10</v>
      </c>
      <c r="M6" s="10">
        <v>120</v>
      </c>
      <c r="N6" s="8">
        <f>L6*M6</f>
        <v>1200</v>
      </c>
      <c r="O6" s="2" t="s">
        <v>142</v>
      </c>
      <c r="Q6" s="2" t="s">
        <v>143</v>
      </c>
    </row>
    <row r="7" spans="1:17" ht="68.25" customHeight="1">
      <c r="A7" s="34" t="s">
        <v>59</v>
      </c>
      <c r="B7" s="10" t="s">
        <v>144</v>
      </c>
      <c r="C7" s="8">
        <v>250</v>
      </c>
      <c r="D7" s="8">
        <v>300</v>
      </c>
      <c r="E7" s="6" t="s">
        <v>145</v>
      </c>
      <c r="F7" s="20" t="s">
        <v>146</v>
      </c>
      <c r="G7" s="20">
        <f>153.4*20</f>
        <v>3068</v>
      </c>
      <c r="H7" s="5">
        <f>300-153.4</f>
        <v>146.6</v>
      </c>
      <c r="I7" s="5">
        <f>H7*20</f>
        <v>2932</v>
      </c>
      <c r="J7" s="10"/>
      <c r="K7" s="35" t="s">
        <v>147</v>
      </c>
      <c r="L7" s="8">
        <v>4.375</v>
      </c>
      <c r="M7" s="10">
        <v>100</v>
      </c>
      <c r="N7" s="8">
        <f>L7*M7</f>
        <v>437.5</v>
      </c>
      <c r="O7" s="2" t="s">
        <v>148</v>
      </c>
    </row>
    <row r="8" spans="1:17" ht="63.75" customHeight="1">
      <c r="A8" s="31" t="s">
        <v>73</v>
      </c>
      <c r="B8" s="10" t="s">
        <v>149</v>
      </c>
      <c r="C8" s="8">
        <v>240</v>
      </c>
      <c r="D8" s="8">
        <v>350</v>
      </c>
      <c r="E8" s="10" t="s">
        <v>150</v>
      </c>
      <c r="F8" s="25" t="s">
        <v>151</v>
      </c>
      <c r="G8" s="20">
        <f>34.35*80</f>
        <v>2748</v>
      </c>
      <c r="H8" s="5">
        <f>D8-34.35</f>
        <v>315.64999999999998</v>
      </c>
      <c r="I8" s="5">
        <f>H8*80</f>
        <v>25252</v>
      </c>
      <c r="J8" s="10"/>
      <c r="K8" s="32" t="s">
        <v>152</v>
      </c>
      <c r="L8" s="10">
        <f>0.75*2</f>
        <v>1.5</v>
      </c>
      <c r="M8" s="10">
        <f>129*2</f>
        <v>258</v>
      </c>
      <c r="N8" s="8">
        <v>258</v>
      </c>
    </row>
    <row r="9" spans="1:17" ht="58.5" customHeight="1">
      <c r="A9" s="8"/>
      <c r="B9" s="10" t="s">
        <v>153</v>
      </c>
      <c r="C9" s="8">
        <v>350</v>
      </c>
      <c r="D9" s="8">
        <v>350</v>
      </c>
      <c r="E9" s="10" t="s">
        <v>154</v>
      </c>
      <c r="F9" s="18" t="s">
        <v>155</v>
      </c>
      <c r="G9" s="20">
        <f>62.8*120</f>
        <v>7536</v>
      </c>
      <c r="H9" s="5">
        <f>350-62.8</f>
        <v>287.2</v>
      </c>
      <c r="I9" s="5">
        <f>H9*120</f>
        <v>34464</v>
      </c>
      <c r="J9" s="10"/>
      <c r="K9" s="32" t="s">
        <v>156</v>
      </c>
      <c r="L9" s="8">
        <f>4+4.6</f>
        <v>8.6</v>
      </c>
      <c r="M9" s="8">
        <v>350</v>
      </c>
      <c r="N9" s="8">
        <f>8.6*350</f>
        <v>3010</v>
      </c>
    </row>
    <row r="10" spans="1:17" ht="73.5" customHeight="1">
      <c r="A10" s="34" t="s">
        <v>83</v>
      </c>
      <c r="B10" s="10" t="s">
        <v>157</v>
      </c>
      <c r="C10" s="8" t="s">
        <v>158</v>
      </c>
      <c r="D10" s="8">
        <v>250</v>
      </c>
      <c r="E10" s="10" t="s">
        <v>159</v>
      </c>
      <c r="F10" s="18" t="s">
        <v>160</v>
      </c>
      <c r="G10" s="20">
        <f>63.896*50</f>
        <v>3194.8</v>
      </c>
      <c r="H10" s="5">
        <f>250-63.896</f>
        <v>186.10399999999998</v>
      </c>
      <c r="I10" s="5">
        <f>H10*50</f>
        <v>9305.1999999999989</v>
      </c>
      <c r="J10" s="8"/>
      <c r="K10" s="32" t="s">
        <v>161</v>
      </c>
      <c r="L10" s="10">
        <v>1</v>
      </c>
      <c r="M10" s="8">
        <v>20</v>
      </c>
      <c r="N10" s="8">
        <v>20</v>
      </c>
    </row>
    <row r="11" spans="1:17" ht="42.75" customHeight="1">
      <c r="A11" s="8"/>
      <c r="B11" s="10" t="s">
        <v>162</v>
      </c>
      <c r="C11" s="8" t="s">
        <v>112</v>
      </c>
      <c r="D11" s="8">
        <v>150</v>
      </c>
      <c r="E11" s="10" t="s">
        <v>163</v>
      </c>
      <c r="F11" s="18" t="s">
        <v>164</v>
      </c>
      <c r="G11" s="26">
        <f>27.1*10</f>
        <v>271</v>
      </c>
      <c r="H11" s="27">
        <f>150-27.1</f>
        <v>122.9</v>
      </c>
      <c r="I11" s="27">
        <f>H11*10</f>
        <v>1229</v>
      </c>
      <c r="J11" s="8"/>
      <c r="K11" s="35" t="s">
        <v>109</v>
      </c>
      <c r="L11" s="8" t="s">
        <v>165</v>
      </c>
      <c r="M11" s="8">
        <v>30</v>
      </c>
      <c r="N11" s="8">
        <v>5</v>
      </c>
    </row>
    <row r="12" spans="1:17">
      <c r="A12" s="3"/>
      <c r="B12" s="12" t="s">
        <v>23</v>
      </c>
      <c r="C12" s="12"/>
      <c r="D12" s="12"/>
      <c r="E12" s="12"/>
      <c r="F12" s="12"/>
      <c r="G12" s="28">
        <f>SUM(G4:G11)</f>
        <v>23165.5</v>
      </c>
      <c r="H12" s="28">
        <f>SUM(H4:H11)</f>
        <v>1898.5740000000001</v>
      </c>
      <c r="I12" s="28">
        <f>SUM(I4:I11)</f>
        <v>121294.59999999999</v>
      </c>
      <c r="J12" s="8"/>
      <c r="K12" s="35" t="s">
        <v>122</v>
      </c>
      <c r="L12" s="8" t="s">
        <v>166</v>
      </c>
      <c r="M12" s="8">
        <v>20</v>
      </c>
      <c r="N12" s="8">
        <f>20*5.6</f>
        <v>112</v>
      </c>
    </row>
    <row r="13" spans="1:17">
      <c r="A13" s="3"/>
      <c r="B13" s="3"/>
      <c r="C13" s="3"/>
      <c r="D13" s="3"/>
      <c r="E13" s="3"/>
      <c r="F13" s="3"/>
      <c r="G13" s="30"/>
      <c r="H13" s="30"/>
      <c r="I13" s="30"/>
      <c r="J13" s="8"/>
      <c r="K13" s="35" t="s">
        <v>167</v>
      </c>
      <c r="L13" s="8" t="s">
        <v>168</v>
      </c>
      <c r="M13" s="8">
        <v>260</v>
      </c>
      <c r="N13" s="8">
        <f>260*4</f>
        <v>1040</v>
      </c>
    </row>
    <row r="14" spans="1:17">
      <c r="A14" s="3"/>
      <c r="B14" s="3"/>
      <c r="C14" s="3"/>
      <c r="D14" s="3"/>
      <c r="E14" s="3"/>
      <c r="F14" s="3"/>
      <c r="G14" s="30"/>
      <c r="H14" s="30"/>
      <c r="I14" s="30"/>
      <c r="J14" s="8"/>
      <c r="K14" s="35" t="s">
        <v>169</v>
      </c>
      <c r="L14" s="8">
        <v>6.44</v>
      </c>
      <c r="M14" s="8">
        <v>150</v>
      </c>
      <c r="N14" s="8">
        <f t="shared" ref="N14:N20" si="0">L14*M14</f>
        <v>966.00000000000011</v>
      </c>
    </row>
    <row r="15" spans="1:17">
      <c r="A15" s="3"/>
      <c r="B15" s="3"/>
      <c r="C15" s="3"/>
      <c r="D15" s="3"/>
      <c r="E15" s="3"/>
      <c r="F15" s="3"/>
      <c r="G15" s="3"/>
      <c r="H15" s="3"/>
      <c r="I15" s="3"/>
      <c r="J15" s="8"/>
      <c r="K15" s="35" t="s">
        <v>170</v>
      </c>
      <c r="L15" s="8">
        <v>17</v>
      </c>
      <c r="M15" s="8">
        <v>250</v>
      </c>
      <c r="N15" s="8">
        <f t="shared" si="0"/>
        <v>4250</v>
      </c>
    </row>
    <row r="16" spans="1:17">
      <c r="A16" s="3"/>
      <c r="B16" s="3"/>
      <c r="C16" s="3"/>
      <c r="D16" s="3"/>
      <c r="E16" s="3"/>
      <c r="F16" s="3"/>
      <c r="G16" s="3"/>
      <c r="H16" s="3"/>
      <c r="I16" s="3"/>
      <c r="J16" s="8"/>
      <c r="K16" s="35" t="s">
        <v>171</v>
      </c>
      <c r="L16" s="8">
        <v>6</v>
      </c>
      <c r="M16" s="8">
        <v>370</v>
      </c>
      <c r="N16" s="8">
        <f t="shared" si="0"/>
        <v>2220</v>
      </c>
    </row>
    <row r="17" spans="1:15">
      <c r="A17" s="3"/>
      <c r="B17" s="3"/>
      <c r="C17" s="3"/>
      <c r="D17" s="3"/>
      <c r="E17" s="3"/>
      <c r="F17" s="3"/>
      <c r="G17" s="3"/>
      <c r="H17" s="3"/>
      <c r="I17" s="3"/>
      <c r="J17" s="8"/>
      <c r="K17" s="35" t="s">
        <v>172</v>
      </c>
      <c r="L17" s="8">
        <f>15.6+4</f>
        <v>19.600000000000001</v>
      </c>
      <c r="M17" s="8">
        <v>60</v>
      </c>
      <c r="N17" s="8">
        <f t="shared" si="0"/>
        <v>1176</v>
      </c>
    </row>
    <row r="18" spans="1:15">
      <c r="A18" s="3"/>
      <c r="B18" s="3"/>
      <c r="C18" s="3"/>
      <c r="D18" s="3"/>
      <c r="E18" s="3"/>
      <c r="F18" s="3"/>
      <c r="G18" s="3"/>
      <c r="H18" s="3"/>
      <c r="I18" s="3"/>
      <c r="J18" s="8"/>
      <c r="K18" s="35" t="s">
        <v>173</v>
      </c>
      <c r="L18" s="8">
        <v>4</v>
      </c>
      <c r="M18" s="8">
        <v>69</v>
      </c>
      <c r="N18" s="8">
        <f t="shared" si="0"/>
        <v>276</v>
      </c>
    </row>
    <row r="19" spans="1:15" ht="26.4">
      <c r="A19" s="3"/>
      <c r="B19" s="3"/>
      <c r="C19" s="3"/>
      <c r="D19" s="3"/>
      <c r="E19" s="3"/>
      <c r="F19" s="3"/>
      <c r="G19" s="3"/>
      <c r="H19" s="3"/>
      <c r="I19" s="3"/>
      <c r="J19" s="8"/>
      <c r="K19" s="32" t="s">
        <v>174</v>
      </c>
      <c r="L19" s="8">
        <v>1.2</v>
      </c>
      <c r="M19" s="8">
        <v>300</v>
      </c>
      <c r="N19" s="8">
        <f t="shared" si="0"/>
        <v>360</v>
      </c>
    </row>
    <row r="20" spans="1:15">
      <c r="A20" s="3"/>
      <c r="B20" s="3"/>
      <c r="C20" s="3"/>
      <c r="D20" s="3"/>
      <c r="E20" s="3"/>
      <c r="F20" s="3"/>
      <c r="G20" s="3"/>
      <c r="H20" s="3"/>
      <c r="I20" s="3"/>
      <c r="J20" s="8"/>
      <c r="K20" s="35" t="s">
        <v>175</v>
      </c>
      <c r="L20" s="8">
        <f>5+5.6</f>
        <v>10.6</v>
      </c>
      <c r="M20" s="8">
        <v>25</v>
      </c>
      <c r="N20" s="8">
        <f t="shared" si="0"/>
        <v>265</v>
      </c>
      <c r="O20" s="2"/>
    </row>
    <row r="21" spans="1:15">
      <c r="A21" s="3"/>
      <c r="B21" s="3"/>
      <c r="C21" s="3"/>
      <c r="D21" s="3"/>
      <c r="E21" s="3"/>
      <c r="F21" s="3"/>
      <c r="G21" s="3"/>
      <c r="H21" s="3"/>
      <c r="I21" s="3"/>
      <c r="J21" s="8"/>
      <c r="K21" s="35" t="s">
        <v>176</v>
      </c>
      <c r="L21" s="8">
        <f>15+3</f>
        <v>18</v>
      </c>
      <c r="M21" s="8">
        <v>10</v>
      </c>
      <c r="N21" s="8">
        <v>180</v>
      </c>
    </row>
    <row r="22" spans="1:15">
      <c r="A22" s="3"/>
      <c r="B22" s="3"/>
      <c r="C22" s="3"/>
      <c r="D22" s="3"/>
      <c r="E22" s="3"/>
      <c r="F22" s="3"/>
      <c r="G22" s="3"/>
      <c r="H22" s="3"/>
      <c r="I22" s="3"/>
      <c r="J22" s="8"/>
      <c r="K22" s="35" t="s">
        <v>177</v>
      </c>
      <c r="L22" s="8">
        <v>50</v>
      </c>
      <c r="M22" s="8">
        <v>10</v>
      </c>
      <c r="N22" s="8">
        <v>500</v>
      </c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8"/>
      <c r="K23" s="35" t="s">
        <v>178</v>
      </c>
      <c r="L23" s="8">
        <v>50</v>
      </c>
      <c r="M23" s="8">
        <v>20</v>
      </c>
      <c r="N23" s="8">
        <f>L23*M23</f>
        <v>1000</v>
      </c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8"/>
      <c r="K24" s="35" t="s">
        <v>179</v>
      </c>
      <c r="L24" s="8">
        <v>0.5</v>
      </c>
      <c r="M24" s="8">
        <v>60</v>
      </c>
      <c r="N24" s="8">
        <f>L24*M24</f>
        <v>30</v>
      </c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8"/>
      <c r="K25" s="35" t="s">
        <v>180</v>
      </c>
      <c r="L25" s="8">
        <v>0.5</v>
      </c>
      <c r="M25" s="8">
        <v>50</v>
      </c>
      <c r="N25" s="8">
        <f>L25*M25</f>
        <v>25</v>
      </c>
    </row>
    <row r="26" spans="1:15" ht="26.4">
      <c r="A26" s="3"/>
      <c r="B26" s="3"/>
      <c r="C26" s="3"/>
      <c r="D26" s="3"/>
      <c r="E26" s="3"/>
      <c r="F26" s="3"/>
      <c r="G26" s="3"/>
      <c r="H26" s="3"/>
      <c r="I26" s="3"/>
      <c r="J26" s="8"/>
      <c r="K26" s="35" t="s">
        <v>102</v>
      </c>
      <c r="L26" s="10" t="s">
        <v>103</v>
      </c>
      <c r="M26" s="8">
        <v>17</v>
      </c>
      <c r="N26" s="8">
        <f>17*40</f>
        <v>680</v>
      </c>
    </row>
    <row r="27" spans="1:15">
      <c r="A27" s="3"/>
      <c r="B27" s="3"/>
      <c r="C27" s="3"/>
      <c r="D27" s="3"/>
      <c r="E27" s="3"/>
      <c r="F27" s="3"/>
      <c r="G27" s="3"/>
      <c r="H27" s="3"/>
      <c r="I27" s="3"/>
      <c r="J27" s="8"/>
      <c r="K27" s="8" t="s">
        <v>118</v>
      </c>
      <c r="L27" s="8">
        <v>10</v>
      </c>
      <c r="M27" s="8">
        <v>51.14</v>
      </c>
      <c r="N27" s="29">
        <v>511.4</v>
      </c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8"/>
      <c r="K28" s="8" t="s">
        <v>23</v>
      </c>
      <c r="L28" s="10"/>
      <c r="M28" s="8"/>
      <c r="N28" s="29">
        <f>SUM(N2:N27)</f>
        <v>23165.5</v>
      </c>
    </row>
    <row r="29" spans="1:15">
      <c r="A29" s="3"/>
      <c r="B29" s="3"/>
      <c r="C29" s="3"/>
      <c r="D29" s="3"/>
      <c r="E29" s="3"/>
      <c r="F29" s="3"/>
      <c r="G29" s="3"/>
      <c r="H29" s="3"/>
      <c r="I29" s="3"/>
      <c r="J29" s="8"/>
      <c r="K29" s="8"/>
      <c r="L29" s="8"/>
      <c r="M29" s="8"/>
      <c r="N29" s="8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8"/>
      <c r="K30" s="8"/>
      <c r="L30" s="8"/>
      <c r="M30" s="8"/>
      <c r="N30" s="29">
        <f>G12-N28</f>
        <v>0</v>
      </c>
    </row>
    <row r="31" spans="1:15">
      <c r="A31" s="3"/>
      <c r="B31" s="3"/>
      <c r="C31" s="3"/>
      <c r="D31" s="3"/>
      <c r="E31" s="3"/>
      <c r="F31" s="3"/>
      <c r="G31" s="3"/>
      <c r="H31" s="3"/>
      <c r="I31" s="3"/>
      <c r="J31" s="8"/>
      <c r="K31" s="8"/>
      <c r="L31" s="8"/>
      <c r="M31" s="8"/>
      <c r="N31" s="8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8"/>
      <c r="K32" s="8"/>
      <c r="L32" s="10"/>
      <c r="M32" s="8"/>
      <c r="N32" s="8"/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8"/>
      <c r="K33" s="8"/>
      <c r="L33" s="8"/>
      <c r="M33" s="8"/>
      <c r="N33" s="8"/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8"/>
      <c r="K34" s="10"/>
      <c r="L34" s="8"/>
      <c r="M34" s="8"/>
      <c r="N34" s="8"/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8"/>
      <c r="K35" s="8"/>
      <c r="L35" s="8"/>
      <c r="M35" s="8"/>
      <c r="N35" s="8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8"/>
      <c r="L36" s="8"/>
      <c r="M36" s="8"/>
      <c r="N36" s="29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10"/>
      <c r="L37" s="8"/>
      <c r="M37" s="8"/>
      <c r="N37" s="29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8"/>
      <c r="L38" s="8"/>
      <c r="M38" s="8"/>
      <c r="N38" s="29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0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mergeCells count="1">
    <mergeCell ref="J1:K1"/>
  </mergeCells>
  <pageMargins left="0.78749999999999998" right="0.39374999999999999" top="0.78749999999999998" bottom="0.78749999999999998" header="0.39374999999999999" footer="0.39374999999999999"/>
  <pageSetup paperSize="9" orientation="portrait" horizontalDpi="300" verticalDpi="300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P35"/>
  <sheetViews>
    <sheetView topLeftCell="A13" zoomScale="90" zoomScaleNormal="90" workbookViewId="0">
      <selection activeCell="I16" sqref="I16"/>
    </sheetView>
  </sheetViews>
  <sheetFormatPr defaultColWidth="11.33203125" defaultRowHeight="13.2"/>
  <cols>
    <col min="2" max="2" width="19" style="2" customWidth="1"/>
    <col min="5" max="5" width="20.5546875" style="2" customWidth="1"/>
    <col min="9" max="9" width="14.5546875" customWidth="1"/>
  </cols>
  <sheetData>
    <row r="1" spans="1:16" ht="26.4">
      <c r="A1" s="3"/>
      <c r="B1" s="4" t="s">
        <v>30</v>
      </c>
      <c r="C1" s="3"/>
      <c r="D1" s="3"/>
      <c r="E1" s="3"/>
      <c r="F1" s="3"/>
      <c r="G1" s="3"/>
      <c r="H1" s="3"/>
      <c r="I1" s="3"/>
      <c r="J1" s="1" t="s">
        <v>32</v>
      </c>
      <c r="K1" s="1"/>
      <c r="L1" s="10" t="s">
        <v>125</v>
      </c>
      <c r="M1" s="10" t="s">
        <v>34</v>
      </c>
      <c r="N1" s="8" t="s">
        <v>23</v>
      </c>
    </row>
    <row r="2" spans="1:16" ht="52.8">
      <c r="A2" s="5" t="s">
        <v>36</v>
      </c>
      <c r="B2" s="5" t="s">
        <v>37</v>
      </c>
      <c r="C2" s="5" t="s">
        <v>38</v>
      </c>
      <c r="D2" s="5" t="s">
        <v>39</v>
      </c>
      <c r="E2" s="19" t="s">
        <v>40</v>
      </c>
      <c r="F2" s="20" t="s">
        <v>35</v>
      </c>
      <c r="G2" s="20" t="s">
        <v>41</v>
      </c>
      <c r="H2" s="18" t="s">
        <v>42</v>
      </c>
      <c r="I2" s="18" t="s">
        <v>43</v>
      </c>
      <c r="J2" s="36" t="s">
        <v>181</v>
      </c>
      <c r="K2" s="32" t="s">
        <v>182</v>
      </c>
      <c r="L2" s="10">
        <f>10+8+5</f>
        <v>23</v>
      </c>
      <c r="M2" s="10">
        <v>200</v>
      </c>
      <c r="N2" s="8">
        <f t="shared" ref="N2:N7" si="0">L2*M2</f>
        <v>4600</v>
      </c>
    </row>
    <row r="3" spans="1:16">
      <c r="A3" s="37" t="s">
        <v>181</v>
      </c>
      <c r="B3" s="8"/>
      <c r="C3" s="8"/>
      <c r="D3" s="8"/>
      <c r="E3" s="8"/>
      <c r="F3" s="8"/>
      <c r="G3" s="8"/>
      <c r="H3" s="8"/>
      <c r="I3" s="8"/>
      <c r="J3" s="10"/>
      <c r="K3" s="32" t="s">
        <v>183</v>
      </c>
      <c r="L3" s="10">
        <f>5+5+3.5</f>
        <v>13.5</v>
      </c>
      <c r="M3" s="10">
        <v>50</v>
      </c>
      <c r="N3" s="8">
        <f t="shared" si="0"/>
        <v>675</v>
      </c>
    </row>
    <row r="4" spans="1:16" ht="39.6">
      <c r="A4" s="38" t="s">
        <v>49</v>
      </c>
      <c r="B4" s="10" t="s">
        <v>184</v>
      </c>
      <c r="C4" s="8">
        <v>300</v>
      </c>
      <c r="D4" s="8">
        <v>350</v>
      </c>
      <c r="E4" s="10" t="s">
        <v>185</v>
      </c>
      <c r="F4" s="18" t="s">
        <v>186</v>
      </c>
      <c r="G4" s="20">
        <f>53*50</f>
        <v>2650</v>
      </c>
      <c r="H4" s="20">
        <f>350-36.68</f>
        <v>313.32</v>
      </c>
      <c r="I4" s="20">
        <f>H4*50</f>
        <v>15666</v>
      </c>
      <c r="J4" s="10"/>
      <c r="K4" s="32" t="s">
        <v>187</v>
      </c>
      <c r="L4" s="10">
        <v>2.5</v>
      </c>
      <c r="M4" s="10">
        <v>80</v>
      </c>
      <c r="N4" s="8">
        <f t="shared" si="0"/>
        <v>200</v>
      </c>
    </row>
    <row r="5" spans="1:16" ht="52.8">
      <c r="A5" s="8"/>
      <c r="B5" s="10" t="s">
        <v>188</v>
      </c>
      <c r="C5" s="8">
        <v>300</v>
      </c>
      <c r="D5" s="8">
        <v>300</v>
      </c>
      <c r="E5" s="10" t="s">
        <v>189</v>
      </c>
      <c r="F5" s="18" t="s">
        <v>190</v>
      </c>
      <c r="G5" s="20">
        <f>60.68*50</f>
        <v>3034</v>
      </c>
      <c r="H5" s="20">
        <f>D5-60.68</f>
        <v>239.32</v>
      </c>
      <c r="I5" s="20">
        <f>H5*50</f>
        <v>11966</v>
      </c>
      <c r="J5" s="10"/>
      <c r="K5" s="32" t="s">
        <v>191</v>
      </c>
      <c r="L5" s="10">
        <v>0.25</v>
      </c>
      <c r="M5" s="10">
        <v>800</v>
      </c>
      <c r="N5" s="8">
        <f t="shared" si="0"/>
        <v>200</v>
      </c>
    </row>
    <row r="6" spans="1:16" ht="39.6">
      <c r="A6" s="8"/>
      <c r="B6" s="10" t="s">
        <v>192</v>
      </c>
      <c r="C6" s="8">
        <v>300</v>
      </c>
      <c r="D6" s="8">
        <v>150</v>
      </c>
      <c r="E6" s="10" t="s">
        <v>193</v>
      </c>
      <c r="F6" s="18" t="s">
        <v>194</v>
      </c>
      <c r="G6" s="20">
        <f>18.37*100</f>
        <v>1837</v>
      </c>
      <c r="H6" s="20">
        <f>150-18.37</f>
        <v>131.63</v>
      </c>
      <c r="I6" s="20">
        <f>H6*100</f>
        <v>13163</v>
      </c>
      <c r="J6" s="10"/>
      <c r="K6" s="10" t="s">
        <v>195</v>
      </c>
      <c r="L6" s="10">
        <v>1</v>
      </c>
      <c r="M6" s="10">
        <v>600</v>
      </c>
      <c r="N6" s="8">
        <f t="shared" si="0"/>
        <v>600</v>
      </c>
    </row>
    <row r="7" spans="1:16" ht="84.75" customHeight="1">
      <c r="A7" s="38" t="s">
        <v>59</v>
      </c>
      <c r="B7" s="10" t="s">
        <v>196</v>
      </c>
      <c r="C7" s="8">
        <v>310</v>
      </c>
      <c r="D7" s="8">
        <v>380</v>
      </c>
      <c r="E7" s="6" t="s">
        <v>197</v>
      </c>
      <c r="F7" s="20" t="s">
        <v>198</v>
      </c>
      <c r="G7" s="20">
        <f>31.822*50</f>
        <v>1591.1</v>
      </c>
      <c r="H7" s="19">
        <f>D7-31.822</f>
        <v>348.178</v>
      </c>
      <c r="I7" s="19">
        <f>H7*50</f>
        <v>17408.900000000001</v>
      </c>
      <c r="J7" s="10"/>
      <c r="K7" s="35" t="s">
        <v>199</v>
      </c>
      <c r="L7" s="8">
        <f>5+1</f>
        <v>6</v>
      </c>
      <c r="M7" s="10">
        <v>179</v>
      </c>
      <c r="N7" s="8">
        <f t="shared" si="0"/>
        <v>1074</v>
      </c>
    </row>
    <row r="8" spans="1:16" ht="63.75" customHeight="1">
      <c r="A8" s="38" t="s">
        <v>68</v>
      </c>
      <c r="B8" s="10" t="s">
        <v>200</v>
      </c>
      <c r="C8" s="8">
        <v>300</v>
      </c>
      <c r="D8" s="8">
        <v>550</v>
      </c>
      <c r="E8" s="6" t="s">
        <v>201</v>
      </c>
      <c r="F8" s="20" t="s">
        <v>202</v>
      </c>
      <c r="G8" s="20">
        <f>75.37*70</f>
        <v>5275.9000000000005</v>
      </c>
      <c r="H8" s="19">
        <f>D8-75.37</f>
        <v>474.63</v>
      </c>
      <c r="I8" s="19">
        <f>H8*70</f>
        <v>33224.1</v>
      </c>
      <c r="J8" s="10"/>
      <c r="K8" s="35" t="s">
        <v>203</v>
      </c>
      <c r="L8" s="8">
        <v>0.5</v>
      </c>
      <c r="M8" s="10">
        <v>300</v>
      </c>
      <c r="N8" s="8">
        <f>M8*L8</f>
        <v>150</v>
      </c>
    </row>
    <row r="9" spans="1:16" ht="39" customHeight="1">
      <c r="A9" s="38"/>
      <c r="B9" s="10" t="s">
        <v>204</v>
      </c>
      <c r="C9" s="8">
        <v>50</v>
      </c>
      <c r="D9" s="8">
        <v>50</v>
      </c>
      <c r="E9" s="6" t="s">
        <v>205</v>
      </c>
      <c r="F9" s="20">
        <v>8.9499999999999993</v>
      </c>
      <c r="G9" s="20">
        <f>F9*20</f>
        <v>179</v>
      </c>
      <c r="H9" s="19">
        <f>D9-8.95</f>
        <v>41.05</v>
      </c>
      <c r="I9" s="19">
        <f>H9*20</f>
        <v>821</v>
      </c>
      <c r="J9" s="10"/>
      <c r="K9" s="35" t="s">
        <v>206</v>
      </c>
      <c r="L9" s="8">
        <v>6.25</v>
      </c>
      <c r="M9" s="10">
        <v>250</v>
      </c>
      <c r="N9" s="8">
        <f t="shared" ref="N9:N16" si="1">L9*M9</f>
        <v>1562.5</v>
      </c>
    </row>
    <row r="10" spans="1:16" ht="79.2">
      <c r="A10" s="39" t="s">
        <v>73</v>
      </c>
      <c r="B10" s="10" t="s">
        <v>207</v>
      </c>
      <c r="C10" s="8">
        <v>280</v>
      </c>
      <c r="D10" s="8">
        <v>420</v>
      </c>
      <c r="E10" s="10" t="s">
        <v>208</v>
      </c>
      <c r="F10" s="25" t="s">
        <v>209</v>
      </c>
      <c r="G10" s="20">
        <f>49.6*50</f>
        <v>2480</v>
      </c>
      <c r="H10" s="5">
        <f>D10-49.6</f>
        <v>370.4</v>
      </c>
      <c r="I10" s="5">
        <f>H10*50</f>
        <v>18520</v>
      </c>
      <c r="J10" s="10"/>
      <c r="K10" s="32" t="s">
        <v>210</v>
      </c>
      <c r="L10" s="10">
        <v>1.5</v>
      </c>
      <c r="M10" s="10">
        <v>500</v>
      </c>
      <c r="N10" s="8">
        <f t="shared" si="1"/>
        <v>750</v>
      </c>
      <c r="O10">
        <f>2.75+9+15</f>
        <v>26.75</v>
      </c>
      <c r="P10">
        <f>O10/18</f>
        <v>1.4861111111111112</v>
      </c>
    </row>
    <row r="11" spans="1:16" ht="79.2">
      <c r="A11" s="8"/>
      <c r="B11" s="10" t="s">
        <v>211</v>
      </c>
      <c r="C11" s="8">
        <v>350</v>
      </c>
      <c r="D11" s="8">
        <v>400</v>
      </c>
      <c r="E11" s="10" t="s">
        <v>212</v>
      </c>
      <c r="F11" s="18" t="s">
        <v>213</v>
      </c>
      <c r="G11" s="20">
        <f>58.04*70</f>
        <v>4062.7999999999997</v>
      </c>
      <c r="H11" s="5">
        <f>400-58.04</f>
        <v>341.96</v>
      </c>
      <c r="I11" s="5">
        <f>H11*70</f>
        <v>23937.199999999997</v>
      </c>
      <c r="J11" s="10"/>
      <c r="K11" s="32" t="s">
        <v>179</v>
      </c>
      <c r="L11" s="8">
        <v>11</v>
      </c>
      <c r="M11" s="8">
        <v>60</v>
      </c>
      <c r="N11" s="8">
        <f t="shared" si="1"/>
        <v>660</v>
      </c>
    </row>
    <row r="12" spans="1:16" ht="66">
      <c r="A12" s="8"/>
      <c r="B12" s="40" t="s">
        <v>214</v>
      </c>
      <c r="C12" s="8">
        <v>150</v>
      </c>
      <c r="D12" s="8">
        <v>250</v>
      </c>
      <c r="E12" s="10" t="s">
        <v>215</v>
      </c>
      <c r="F12" s="18" t="s">
        <v>216</v>
      </c>
      <c r="G12" s="20">
        <f>41.2*100</f>
        <v>4120</v>
      </c>
      <c r="H12" s="5">
        <f>D12-41.2</f>
        <v>208.8</v>
      </c>
      <c r="I12" s="5">
        <f>H12*100</f>
        <v>20880</v>
      </c>
      <c r="J12" s="10"/>
      <c r="K12" s="32" t="s">
        <v>217</v>
      </c>
      <c r="L12" s="8">
        <v>5.05</v>
      </c>
      <c r="M12" s="8">
        <v>190</v>
      </c>
      <c r="N12" s="8">
        <f t="shared" si="1"/>
        <v>959.5</v>
      </c>
      <c r="O12">
        <v>4</v>
      </c>
      <c r="P12">
        <v>0.04</v>
      </c>
    </row>
    <row r="13" spans="1:16" ht="39.6">
      <c r="A13" s="38" t="s">
        <v>83</v>
      </c>
      <c r="B13" s="10" t="s">
        <v>218</v>
      </c>
      <c r="C13" s="8" t="s">
        <v>219</v>
      </c>
      <c r="D13" s="8">
        <v>100</v>
      </c>
      <c r="E13" s="10" t="s">
        <v>220</v>
      </c>
      <c r="F13" s="18" t="s">
        <v>221</v>
      </c>
      <c r="G13" s="20">
        <f>16*400</f>
        <v>6400</v>
      </c>
      <c r="H13" s="5">
        <f>D13-16</f>
        <v>84</v>
      </c>
      <c r="I13" s="5">
        <f>H13*400</f>
        <v>33600</v>
      </c>
      <c r="J13" s="8"/>
      <c r="K13" s="32" t="s">
        <v>222</v>
      </c>
      <c r="L13" s="10">
        <v>2</v>
      </c>
      <c r="M13" s="8">
        <v>30</v>
      </c>
      <c r="N13" s="8">
        <f t="shared" si="1"/>
        <v>60</v>
      </c>
    </row>
    <row r="14" spans="1:16" ht="70.5" customHeight="1">
      <c r="A14" s="8"/>
      <c r="B14" s="40" t="s">
        <v>223</v>
      </c>
      <c r="C14" s="8">
        <v>175</v>
      </c>
      <c r="D14" s="8">
        <v>175</v>
      </c>
      <c r="E14" s="10" t="s">
        <v>224</v>
      </c>
      <c r="F14" s="18" t="s">
        <v>225</v>
      </c>
      <c r="G14" s="26">
        <f>28.55*100</f>
        <v>2855</v>
      </c>
      <c r="H14" s="27">
        <f>D14-28.55</f>
        <v>146.44999999999999</v>
      </c>
      <c r="I14" s="27">
        <f>H14*100</f>
        <v>14644.999999999998</v>
      </c>
      <c r="J14" s="8"/>
      <c r="K14" s="35" t="s">
        <v>226</v>
      </c>
      <c r="L14" s="8">
        <v>23</v>
      </c>
      <c r="M14" s="8">
        <v>100</v>
      </c>
      <c r="N14" s="8">
        <f t="shared" si="1"/>
        <v>2300</v>
      </c>
      <c r="O14">
        <v>2</v>
      </c>
      <c r="P14">
        <v>21</v>
      </c>
    </row>
    <row r="15" spans="1:16">
      <c r="A15" s="3"/>
      <c r="B15" s="12" t="s">
        <v>23</v>
      </c>
      <c r="C15" s="12"/>
      <c r="D15" s="12"/>
      <c r="E15" s="12"/>
      <c r="F15" s="12"/>
      <c r="G15" s="28">
        <f>SUM(G4:G14)</f>
        <v>34484.800000000003</v>
      </c>
      <c r="H15" s="28">
        <f>SUM(H4:H14)</f>
        <v>2699.7379999999998</v>
      </c>
      <c r="I15" s="28">
        <f>SUM(I4:I14)</f>
        <v>203831.2</v>
      </c>
      <c r="J15" s="8"/>
      <c r="K15" s="35" t="s">
        <v>227</v>
      </c>
      <c r="L15" s="8">
        <v>1.4</v>
      </c>
      <c r="M15" s="8">
        <v>500</v>
      </c>
      <c r="N15" s="8">
        <f t="shared" si="1"/>
        <v>700</v>
      </c>
    </row>
    <row r="16" spans="1:16" ht="39.6">
      <c r="A16" s="3"/>
      <c r="B16" s="3"/>
      <c r="C16" s="3"/>
      <c r="D16" s="3"/>
      <c r="E16" s="3"/>
      <c r="F16" s="3"/>
      <c r="G16" s="30"/>
      <c r="H16" s="30"/>
      <c r="I16" s="30"/>
      <c r="J16" s="8"/>
      <c r="K16" s="32" t="s">
        <v>228</v>
      </c>
      <c r="L16" s="8">
        <f>1+3</f>
        <v>4</v>
      </c>
      <c r="M16" s="8">
        <v>220</v>
      </c>
      <c r="N16" s="8">
        <f t="shared" si="1"/>
        <v>880</v>
      </c>
    </row>
    <row r="17" spans="1:14" ht="26.4">
      <c r="A17" s="3"/>
      <c r="B17" s="3"/>
      <c r="C17" s="3"/>
      <c r="D17" s="3"/>
      <c r="E17" s="3"/>
      <c r="F17" s="3"/>
      <c r="G17" s="30"/>
      <c r="H17" s="30"/>
      <c r="I17" s="30"/>
      <c r="J17" s="8"/>
      <c r="K17" s="32" t="s">
        <v>229</v>
      </c>
      <c r="L17" s="8" t="s">
        <v>230</v>
      </c>
      <c r="M17" s="8">
        <v>180</v>
      </c>
      <c r="N17" s="8">
        <v>20</v>
      </c>
    </row>
    <row r="18" spans="1:14" ht="39.6">
      <c r="A18" s="3"/>
      <c r="B18" s="3"/>
      <c r="C18" s="3"/>
      <c r="D18" s="3"/>
      <c r="E18" s="3"/>
      <c r="F18" s="3"/>
      <c r="G18" s="3"/>
      <c r="H18" s="3"/>
      <c r="I18" s="3"/>
      <c r="J18" s="8"/>
      <c r="K18" s="32" t="s">
        <v>231</v>
      </c>
      <c r="L18" s="8">
        <v>4.7220000000000004</v>
      </c>
      <c r="M18" s="8">
        <v>150</v>
      </c>
      <c r="N18" s="8">
        <f>M18*L18</f>
        <v>708.30000000000007</v>
      </c>
    </row>
    <row r="19" spans="1:14" ht="26.4">
      <c r="A19" s="3"/>
      <c r="B19" s="3"/>
      <c r="C19" s="3"/>
      <c r="D19" s="3"/>
      <c r="E19" s="3"/>
      <c r="F19" s="3"/>
      <c r="G19" s="3"/>
      <c r="H19" s="3"/>
      <c r="I19" s="3"/>
      <c r="J19" s="8"/>
      <c r="K19" s="32" t="s">
        <v>232</v>
      </c>
      <c r="L19" s="8">
        <v>0.2</v>
      </c>
      <c r="M19" s="8"/>
      <c r="N19" s="8">
        <v>300</v>
      </c>
    </row>
    <row r="20" spans="1:14" ht="26.4">
      <c r="A20" s="3"/>
      <c r="B20" s="3"/>
      <c r="C20" s="3"/>
      <c r="D20" s="3"/>
      <c r="E20" s="3"/>
      <c r="F20" s="3"/>
      <c r="G20" s="3"/>
      <c r="H20" s="3"/>
      <c r="I20" s="3"/>
      <c r="J20" s="8"/>
      <c r="K20" s="32" t="s">
        <v>233</v>
      </c>
      <c r="L20" s="8">
        <f>4.5+3</f>
        <v>7.5</v>
      </c>
      <c r="M20" s="8">
        <v>165</v>
      </c>
      <c r="N20" s="8">
        <f t="shared" ref="N20:N34" si="2">L20*M20</f>
        <v>1237.5</v>
      </c>
    </row>
    <row r="21" spans="1:14" ht="26.4">
      <c r="A21" s="3"/>
      <c r="B21" s="3"/>
      <c r="C21" s="3"/>
      <c r="D21" s="3"/>
      <c r="E21" s="3"/>
      <c r="F21" s="3"/>
      <c r="G21" s="3"/>
      <c r="H21" s="3"/>
      <c r="I21" s="3"/>
      <c r="J21" s="8"/>
      <c r="K21" s="32" t="s">
        <v>234</v>
      </c>
      <c r="L21" s="8">
        <v>3.5</v>
      </c>
      <c r="M21" s="8">
        <v>700</v>
      </c>
      <c r="N21" s="8">
        <f t="shared" si="2"/>
        <v>2450</v>
      </c>
    </row>
    <row r="22" spans="1:14" ht="26.4">
      <c r="A22" s="3"/>
      <c r="B22" s="3"/>
      <c r="C22" s="3"/>
      <c r="D22" s="3"/>
      <c r="E22" s="3"/>
      <c r="F22" s="3"/>
      <c r="G22" s="3"/>
      <c r="H22" s="3"/>
      <c r="I22" s="3"/>
      <c r="J22" s="8"/>
      <c r="K22" s="32" t="s">
        <v>235</v>
      </c>
      <c r="L22" s="8">
        <v>4</v>
      </c>
      <c r="M22" s="8">
        <v>340</v>
      </c>
      <c r="N22" s="8">
        <f t="shared" si="2"/>
        <v>1360</v>
      </c>
    </row>
    <row r="23" spans="1:14" ht="26.4">
      <c r="A23" s="3"/>
      <c r="B23" s="3"/>
      <c r="C23" s="3"/>
      <c r="D23" s="3"/>
      <c r="E23" s="3"/>
      <c r="F23" s="3"/>
      <c r="G23" s="3"/>
      <c r="H23" s="3"/>
      <c r="I23" s="3"/>
      <c r="J23" s="8"/>
      <c r="K23" s="32" t="s">
        <v>236</v>
      </c>
      <c r="L23" s="8">
        <v>4</v>
      </c>
      <c r="M23" s="8">
        <v>180</v>
      </c>
      <c r="N23" s="8">
        <f t="shared" si="2"/>
        <v>720</v>
      </c>
    </row>
    <row r="24" spans="1:14" ht="26.4">
      <c r="A24" s="3"/>
      <c r="B24" s="3"/>
      <c r="C24" s="3"/>
      <c r="D24" s="3"/>
      <c r="E24" s="3"/>
      <c r="F24" s="3"/>
      <c r="G24" s="3"/>
      <c r="H24" s="3"/>
      <c r="I24" s="3"/>
      <c r="J24" s="8"/>
      <c r="K24" s="32" t="s">
        <v>237</v>
      </c>
      <c r="L24" s="8">
        <v>5.6</v>
      </c>
      <c r="M24" s="8">
        <v>280</v>
      </c>
      <c r="N24" s="8">
        <f t="shared" si="2"/>
        <v>1568</v>
      </c>
    </row>
    <row r="25" spans="1:14" ht="26.4">
      <c r="A25" s="3"/>
      <c r="B25" s="3"/>
      <c r="C25" s="3"/>
      <c r="D25" s="3"/>
      <c r="E25" s="3"/>
      <c r="F25" s="3"/>
      <c r="G25" s="3"/>
      <c r="H25" s="3"/>
      <c r="I25" s="3"/>
      <c r="J25" s="8"/>
      <c r="K25" s="32" t="s">
        <v>238</v>
      </c>
      <c r="L25" s="8">
        <v>7</v>
      </c>
      <c r="M25" s="8">
        <v>20</v>
      </c>
      <c r="N25" s="8">
        <f t="shared" si="2"/>
        <v>140</v>
      </c>
    </row>
    <row r="26" spans="1:14" ht="26.4">
      <c r="A26" s="3"/>
      <c r="B26" s="3"/>
      <c r="C26" s="3"/>
      <c r="D26" s="3"/>
      <c r="E26" s="3"/>
      <c r="F26" s="3"/>
      <c r="G26" s="3"/>
      <c r="H26" s="3"/>
      <c r="I26" s="3"/>
      <c r="J26" s="8"/>
      <c r="K26" s="32" t="s">
        <v>239</v>
      </c>
      <c r="L26" s="8">
        <v>9</v>
      </c>
      <c r="M26" s="8">
        <v>110</v>
      </c>
      <c r="N26" s="8">
        <f t="shared" si="2"/>
        <v>990</v>
      </c>
    </row>
    <row r="27" spans="1:14" ht="26.4">
      <c r="A27" s="3"/>
      <c r="B27" s="3"/>
      <c r="C27" s="3"/>
      <c r="D27" s="3"/>
      <c r="E27" s="3"/>
      <c r="F27" s="3"/>
      <c r="G27" s="3"/>
      <c r="H27" s="3"/>
      <c r="I27" s="3"/>
      <c r="J27" s="8"/>
      <c r="K27" s="32" t="s">
        <v>240</v>
      </c>
      <c r="L27" s="8">
        <v>5</v>
      </c>
      <c r="M27" s="8">
        <v>30</v>
      </c>
      <c r="N27" s="8">
        <f t="shared" si="2"/>
        <v>150</v>
      </c>
    </row>
    <row r="28" spans="1:14">
      <c r="A28" s="3"/>
      <c r="B28" s="3"/>
      <c r="C28" s="3"/>
      <c r="D28" s="3"/>
      <c r="E28" s="3"/>
      <c r="F28" s="3"/>
      <c r="G28" s="3"/>
      <c r="H28" s="3"/>
      <c r="I28" s="3"/>
      <c r="J28" s="8"/>
      <c r="K28" s="35" t="s">
        <v>241</v>
      </c>
      <c r="L28" s="8">
        <v>2</v>
      </c>
      <c r="M28" s="8">
        <v>600</v>
      </c>
      <c r="N28" s="8">
        <f t="shared" si="2"/>
        <v>1200</v>
      </c>
    </row>
    <row r="29" spans="1:14">
      <c r="A29" s="3"/>
      <c r="B29" s="3"/>
      <c r="C29" s="3"/>
      <c r="D29" s="3"/>
      <c r="E29" s="3"/>
      <c r="F29" s="3"/>
      <c r="G29" s="3"/>
      <c r="H29" s="3"/>
      <c r="I29" s="3"/>
      <c r="J29" s="8"/>
      <c r="K29" s="35" t="s">
        <v>242</v>
      </c>
      <c r="L29" s="8">
        <v>12</v>
      </c>
      <c r="M29" s="8">
        <v>350</v>
      </c>
      <c r="N29" s="8">
        <f t="shared" si="2"/>
        <v>4200</v>
      </c>
    </row>
    <row r="30" spans="1:14" ht="26.4">
      <c r="A30" s="3"/>
      <c r="B30" s="3"/>
      <c r="C30" s="3"/>
      <c r="D30" s="3"/>
      <c r="E30" s="3"/>
      <c r="F30" s="3"/>
      <c r="G30" s="3"/>
      <c r="H30" s="3"/>
      <c r="I30" s="3"/>
      <c r="J30" s="8"/>
      <c r="K30" s="32" t="s">
        <v>174</v>
      </c>
      <c r="L30" s="8">
        <v>2</v>
      </c>
      <c r="M30" s="8">
        <v>300</v>
      </c>
      <c r="N30" s="8">
        <f t="shared" si="2"/>
        <v>600</v>
      </c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8"/>
      <c r="K31" s="35" t="s">
        <v>170</v>
      </c>
      <c r="L31" s="8">
        <v>8</v>
      </c>
      <c r="M31" s="8">
        <v>250</v>
      </c>
      <c r="N31" s="8">
        <f t="shared" si="2"/>
        <v>2000</v>
      </c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8"/>
      <c r="K32" s="35" t="s">
        <v>57</v>
      </c>
      <c r="L32" s="10">
        <v>0.5</v>
      </c>
      <c r="M32" s="8">
        <v>700</v>
      </c>
      <c r="N32" s="8">
        <f t="shared" si="2"/>
        <v>350</v>
      </c>
    </row>
    <row r="33" spans="1:14">
      <c r="A33" s="3"/>
      <c r="B33" s="3"/>
      <c r="C33" s="3"/>
      <c r="D33" s="3"/>
      <c r="E33" s="3"/>
      <c r="F33" s="3"/>
      <c r="G33" s="3"/>
      <c r="H33" s="3"/>
      <c r="I33" s="3"/>
      <c r="J33" s="8"/>
      <c r="K33" s="35" t="s">
        <v>243</v>
      </c>
      <c r="L33" s="10">
        <v>2.1</v>
      </c>
      <c r="M33" s="8">
        <v>200</v>
      </c>
      <c r="N33" s="8">
        <f t="shared" si="2"/>
        <v>420</v>
      </c>
    </row>
    <row r="34" spans="1:14">
      <c r="A34" s="3"/>
      <c r="B34" s="3"/>
      <c r="C34" s="3"/>
      <c r="D34" s="3"/>
      <c r="E34" s="3"/>
      <c r="F34" s="3"/>
      <c r="G34" s="3"/>
      <c r="H34" s="3"/>
      <c r="I34" s="3"/>
      <c r="J34" s="8"/>
      <c r="K34" s="35" t="s">
        <v>244</v>
      </c>
      <c r="L34" s="8">
        <v>70</v>
      </c>
      <c r="M34" s="8">
        <v>10</v>
      </c>
      <c r="N34" s="29">
        <f t="shared" si="2"/>
        <v>700</v>
      </c>
    </row>
    <row r="35" spans="1:14">
      <c r="A35" s="3"/>
      <c r="B35" s="3"/>
      <c r="C35" s="3"/>
      <c r="D35" s="3"/>
      <c r="E35" s="3"/>
      <c r="F35" s="3"/>
      <c r="G35" s="3"/>
      <c r="H35" s="3"/>
      <c r="I35" s="3"/>
      <c r="J35" s="8"/>
      <c r="K35" s="12" t="s">
        <v>23</v>
      </c>
      <c r="L35" s="18"/>
      <c r="M35" s="12"/>
      <c r="N35" s="28">
        <f>SUM(N2:N34)</f>
        <v>34484.800000000003</v>
      </c>
    </row>
  </sheetData>
  <mergeCells count="1">
    <mergeCell ref="J1:K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834</TotalTime>
  <Application>LibreOffice/7.6.0.3$Linux_X86_64 LibreOffice_project/60$Build-3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Красный</vt:lpstr>
      <vt:lpstr>Оранжевый</vt:lpstr>
      <vt:lpstr>Зеленый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msi atlant</dc:creator>
  <dc:description/>
  <cp:lastModifiedBy>София Бессарабова</cp:lastModifiedBy>
  <cp:revision>23</cp:revision>
  <dcterms:created xsi:type="dcterms:W3CDTF">2023-11-06T13:42:52Z</dcterms:created>
  <dcterms:modified xsi:type="dcterms:W3CDTF">2023-11-17T15:14:46Z</dcterms:modified>
  <dc:language>ru-RU</dc:language>
</cp:coreProperties>
</file>